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1525" windowHeight="11850"/>
  </bookViews>
  <sheets>
    <sheet name="Amort. of Reg Liab UnPr" sheetId="26" r:id="rId1"/>
    <sheet name="Amortization of Reg Liab Pr" sheetId="27" r:id="rId2"/>
    <sheet name="Amort. of 25TX" sheetId="28" r:id="rId3"/>
    <sheet name="FT ADIT Before-After As IF" sheetId="22" r:id="rId4"/>
    <sheet name="FT Combined ARAM Summary" sheetId="21" r:id="rId5"/>
    <sheet name="FT-12-31-2018 TB" sheetId="20" r:id="rId6"/>
    <sheet name="FT-2018 RF" sheetId="19" r:id="rId7"/>
    <sheet name="FT ADIT B-A with 2018 Adj As If" sheetId="18" r:id="rId8"/>
    <sheet name="FT ADIT Before-After" sheetId="7" r:id="rId9"/>
    <sheet name="FT FED -  STATE " sheetId="12" r:id="rId10"/>
    <sheet name="FT-OTP Deferreds" sheetId="11" r:id="rId11"/>
    <sheet name="Tax Reform Entries TX-SPCL" sheetId="2" r:id="rId12"/>
    <sheet name="FT ADIT " sheetId="3" r:id="rId13"/>
    <sheet name="DATA" sheetId="1" r:id="rId14"/>
    <sheet name="Reg Liab" sheetId="9" r:id="rId15"/>
    <sheet name="DATA-Reg Liab" sheetId="10" r:id="rId16"/>
    <sheet name="Q1 Activity" sheetId="15" r:id="rId17"/>
    <sheet name="FT TB" sheetId="16" r:id="rId18"/>
    <sheet name="Q1 ADIT 2018" sheetId="17" r:id="rId19"/>
    <sheet name="ADIT" sheetId="13" r:id="rId20"/>
    <sheet name="ExpRecl&amp;GrossUp_FRUs" sheetId="1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p" localSheetId="19">#REF!</definedName>
    <definedName name="\p" localSheetId="3">#REF!</definedName>
    <definedName name="\p" localSheetId="4">#REF!</definedName>
    <definedName name="\p">#REF!</definedName>
    <definedName name="\Z" localSheetId="19">#REF!</definedName>
    <definedName name="\Z" localSheetId="3">#REF!</definedName>
    <definedName name="\Z" localSheetId="4">#REF!</definedName>
    <definedName name="\Z">#REF!</definedName>
    <definedName name="_101" localSheetId="19">#REF!</definedName>
    <definedName name="_101" localSheetId="3">#REF!</definedName>
    <definedName name="_101" localSheetId="4">#REF!</definedName>
    <definedName name="_101">#REF!</definedName>
    <definedName name="_108" localSheetId="19">#REF!</definedName>
    <definedName name="_108" localSheetId="3">#REF!</definedName>
    <definedName name="_108" localSheetId="4">#REF!</definedName>
    <definedName name="_108">#REF!</definedName>
    <definedName name="_253REC" localSheetId="19">#REF!</definedName>
    <definedName name="_253REC" localSheetId="3">#REF!</definedName>
    <definedName name="_253REC" localSheetId="4">#REF!</definedName>
    <definedName name="_253REC">#REF!</definedName>
    <definedName name="_5_YR_W_OVHD">#REF!</definedName>
    <definedName name="_5_YR_WITH_OVHD">#REF!</definedName>
    <definedName name="_5_YR_WO_OVHD">#REF!</definedName>
    <definedName name="_xlnm._FilterDatabase" localSheetId="19" hidden="1">ADIT!$A$7:$R$45</definedName>
    <definedName name="_xlnm._FilterDatabase" localSheetId="13" hidden="1">DATA!$A$1:$Q$181</definedName>
    <definedName name="_xlnm._FilterDatabase" localSheetId="15" hidden="1">'DATA-Reg Liab'!$A$1:$Q$64</definedName>
    <definedName name="_xlnm._FilterDatabase" localSheetId="20" hidden="1">'ExpRecl&amp;GrossUp_FRUs'!$A$7:$R$81</definedName>
    <definedName name="_xlnm._FilterDatabase" localSheetId="7" hidden="1">'FT ADIT B-A with 2018 Adj As If'!$A$9:$N$33</definedName>
    <definedName name="_xlnm._FilterDatabase" localSheetId="8" hidden="1">'FT ADIT Before-After'!$A$9:$W$33</definedName>
    <definedName name="_xlnm._FilterDatabase" localSheetId="18" hidden="1">'Q1 ADIT 2018'!$A$1:$F$324</definedName>
    <definedName name="_Key1" localSheetId="19" hidden="1">[1]IncTx_Calc!#REF!</definedName>
    <definedName name="_Key1" localSheetId="3" hidden="1">[1]IncTx_Calc!#REF!</definedName>
    <definedName name="_Key1" localSheetId="4" hidden="1">[1]IncTx_Calc!#REF!</definedName>
    <definedName name="_Key1" hidden="1">[1]IncTx_Calc!#REF!</definedName>
    <definedName name="_Key2" localSheetId="19" hidden="1">[2]IncTx_Calc!#REF!</definedName>
    <definedName name="_Key2" localSheetId="3" hidden="1">[2]IncTx_Calc!#REF!</definedName>
    <definedName name="_Key2" localSheetId="4" hidden="1">[2]IncTx_Calc!#REF!</definedName>
    <definedName name="_Key2" hidden="1">[2]IncTx_Calc!#REF!</definedName>
    <definedName name="_Order1" hidden="1">255</definedName>
    <definedName name="_Sort" localSheetId="19" hidden="1">[1]IncTx_Calc!#REF!</definedName>
    <definedName name="_Sort" localSheetId="3" hidden="1">[1]IncTx_Calc!#REF!</definedName>
    <definedName name="_Sort" localSheetId="4" hidden="1">[1]IncTx_Calc!#REF!</definedName>
    <definedName name="_Sort" hidden="1">[1]IncTx_Calc!#REF!</definedName>
    <definedName name="a">#REF!</definedName>
    <definedName name="account_code" localSheetId="19">#REF!</definedName>
    <definedName name="account_code" localSheetId="3">#REF!</definedName>
    <definedName name="account_code" localSheetId="4">#REF!</definedName>
    <definedName name="account_code">#REF!</definedName>
    <definedName name="account_description" localSheetId="19">#REF!</definedName>
    <definedName name="account_description" localSheetId="3">#REF!</definedName>
    <definedName name="account_description" localSheetId="4">#REF!</definedName>
    <definedName name="account_description">#REF!</definedName>
    <definedName name="AD_BAL">#REF!</definedName>
    <definedName name="AD_BAL2" localSheetId="19">#REF!</definedName>
    <definedName name="AD_BAL2" localSheetId="3">#REF!</definedName>
    <definedName name="AD_BAL2" localSheetId="4">#REF!</definedName>
    <definedName name="AD_BAL2">#REF!</definedName>
    <definedName name="ADD" localSheetId="19">#REF!</definedName>
    <definedName name="ADD" localSheetId="3">#REF!</definedName>
    <definedName name="ADD" localSheetId="4">#REF!</definedName>
    <definedName name="ADD">#REF!</definedName>
    <definedName name="ADD_BY_DIST" localSheetId="19">#REF!</definedName>
    <definedName name="ADD_BY_DIST" localSheetId="3">#REF!</definedName>
    <definedName name="ADD_BY_DIST" localSheetId="4">#REF!</definedName>
    <definedName name="ADD_BY_DIST">#REF!</definedName>
    <definedName name="Asset_Type">#REF!</definedName>
    <definedName name="Assets" localSheetId="19">#REF!</definedName>
    <definedName name="Assets" localSheetId="3">#REF!</definedName>
    <definedName name="Assets" localSheetId="4">#REF!</definedName>
    <definedName name="Assets">#REF!</definedName>
    <definedName name="Bad_Debt" localSheetId="19">'[3]2-Meals'!#REF!</definedName>
    <definedName name="Bad_Debt" localSheetId="3">'[3]2-Meals'!#REF!</definedName>
    <definedName name="Bad_Debt" localSheetId="4">'[3]2-Meals'!#REF!</definedName>
    <definedName name="Bad_Debt">'[3]2-Meals'!#REF!</definedName>
    <definedName name="BONUS" localSheetId="19">#REF!</definedName>
    <definedName name="BONUS" localSheetId="3">#REF!</definedName>
    <definedName name="BONUS" localSheetId="4">#REF!</definedName>
    <definedName name="BONUS">#REF!</definedName>
    <definedName name="budget_code" localSheetId="19">#REF!</definedName>
    <definedName name="budget_code" localSheetId="3">#REF!</definedName>
    <definedName name="budget_code" localSheetId="4">#REF!</definedName>
    <definedName name="budget_code">#REF!</definedName>
    <definedName name="budget_description" localSheetId="19">#REF!</definedName>
    <definedName name="budget_description" localSheetId="3">#REF!</definedName>
    <definedName name="budget_description" localSheetId="4">#REF!</definedName>
    <definedName name="budget_description">#REF!</definedName>
    <definedName name="BY_MO_W_OVHD">#REF!</definedName>
    <definedName name="BY_MONTH">#REF!</definedName>
    <definedName name="BY_MONTH_W_OVHD">#REF!</definedName>
    <definedName name="Cap">'[4]2002'!$A$1:$O$101</definedName>
    <definedName name="CAPITAL" localSheetId="19">#REF!</definedName>
    <definedName name="CAPITAL" localSheetId="3">#REF!</definedName>
    <definedName name="CAPITAL" localSheetId="4">#REF!</definedName>
    <definedName name="CAPITAL">#REF!</definedName>
    <definedName name="CAPSUM" localSheetId="19">#REF!</definedName>
    <definedName name="CAPSUM" localSheetId="3">#REF!</definedName>
    <definedName name="CAPSUM" localSheetId="4">#REF!</definedName>
    <definedName name="CAPSUM">#REF!</definedName>
    <definedName name="CIAC" localSheetId="19">'[3]2-Meals'!#REF!</definedName>
    <definedName name="CIAC" localSheetId="3">'[3]2-Meals'!#REF!</definedName>
    <definedName name="CIAC" localSheetId="4">'[3]2-Meals'!#REF!</definedName>
    <definedName name="CIAC">'[3]2-Meals'!#REF!</definedName>
    <definedName name="d" localSheetId="19">#REF!</definedName>
    <definedName name="d" localSheetId="3">#REF!</definedName>
    <definedName name="d" localSheetId="4">#REF!</definedName>
    <definedName name="d">#REF!</definedName>
    <definedName name="_xlnm.Database">#REF!</definedName>
    <definedName name="DEFERRED_TAX">#REF!</definedName>
    <definedName name="Department_Costs" localSheetId="19">#REF!</definedName>
    <definedName name="Department_Costs" localSheetId="3">#REF!</definedName>
    <definedName name="Department_Costs" localSheetId="4">#REF!</definedName>
    <definedName name="Department_Costs">#REF!</definedName>
    <definedName name="DEPRBYDIST">[5]DeprCoDetail:DeprSum!$A$1:$G$36</definedName>
    <definedName name="DETAIL" localSheetId="19">#REF!</definedName>
    <definedName name="DETAIL" localSheetId="3">#REF!</definedName>
    <definedName name="DETAIL" localSheetId="4">#REF!</definedName>
    <definedName name="DETAIL">#REF!</definedName>
    <definedName name="DIT" localSheetId="19">#REF!</definedName>
    <definedName name="DIT" localSheetId="3">#REF!</definedName>
    <definedName name="DIT" localSheetId="4">#REF!</definedName>
    <definedName name="DIT">#REF!</definedName>
    <definedName name="DIT_TEMP" localSheetId="19">#REF!</definedName>
    <definedName name="DIT_TEMP" localSheetId="3">#REF!</definedName>
    <definedName name="DIT_TEMP" localSheetId="4">#REF!</definedName>
    <definedName name="DIT_TEMP">#REF!</definedName>
    <definedName name="leslie">#REF!</definedName>
    <definedName name="LT_Bonus" localSheetId="19">'[3]2-Meals'!#REF!</definedName>
    <definedName name="LT_Bonus" localSheetId="3">'[3]2-Meals'!#REF!</definedName>
    <definedName name="LT_Bonus" localSheetId="4">'[3]2-Meals'!#REF!</definedName>
    <definedName name="LT_Bonus">'[3]2-Meals'!#REF!</definedName>
    <definedName name="masterV">[6]MasterV!$A:$P</definedName>
    <definedName name="month">#REF!</definedName>
    <definedName name="Monthly_Dep">#REF!</definedName>
    <definedName name="MONTHLY_DEPR">#REF!</definedName>
    <definedName name="MONTHLY_DEPR2" localSheetId="19">#REF!</definedName>
    <definedName name="MONTHLY_DEPR2" localSheetId="3">#REF!</definedName>
    <definedName name="MONTHLY_DEPR2" localSheetId="4">#REF!</definedName>
    <definedName name="MONTHLY_DEPR2">#REF!</definedName>
    <definedName name="nat_cur_code" localSheetId="19">#REF!</definedName>
    <definedName name="nat_cur_code" localSheetId="3">#REF!</definedName>
    <definedName name="nat_cur_code" localSheetId="4">#REF!</definedName>
    <definedName name="nat_cur_code">#REF!</definedName>
    <definedName name="PAGE1" localSheetId="19">#REF!</definedName>
    <definedName name="PAGE1" localSheetId="3">#REF!</definedName>
    <definedName name="PAGE1" localSheetId="4">#REF!</definedName>
    <definedName name="PAGE1">#REF!</definedName>
    <definedName name="PAGE2" localSheetId="19">#REF!</definedName>
    <definedName name="PAGE2" localSheetId="3">#REF!</definedName>
    <definedName name="PAGE2" localSheetId="4">#REF!</definedName>
    <definedName name="PAGE2">#REF!</definedName>
    <definedName name="PAGE4" localSheetId="19">'[7]IT Calc'!#REF!</definedName>
    <definedName name="PAGE4" localSheetId="3">'[7]IT Calc'!#REF!</definedName>
    <definedName name="PAGE4" localSheetId="4">'[7]IT Calc'!#REF!</definedName>
    <definedName name="PAGE4">'[7]IT Calc'!#REF!</definedName>
    <definedName name="PAGE5" localSheetId="19">'[7]IT Calc'!#REF!</definedName>
    <definedName name="PAGE5" localSheetId="3">'[7]IT Calc'!#REF!</definedName>
    <definedName name="PAGE5" localSheetId="4">'[7]IT Calc'!#REF!</definedName>
    <definedName name="PAGE5">'[7]IT Calc'!#REF!</definedName>
    <definedName name="Pension" localSheetId="19">'[3]2-Meals'!#REF!</definedName>
    <definedName name="Pension" localSheetId="3">'[3]2-Meals'!#REF!</definedName>
    <definedName name="Pension" localSheetId="4">'[3]2-Meals'!#REF!</definedName>
    <definedName name="Pension">'[3]2-Meals'!#REF!</definedName>
    <definedName name="period_end_1" localSheetId="19">#REF!</definedName>
    <definedName name="period_end_1" localSheetId="3">#REF!</definedName>
    <definedName name="period_end_1" localSheetId="4">#REF!</definedName>
    <definedName name="period_end_1">#REF!</definedName>
    <definedName name="period_end_10" localSheetId="19">#REF!</definedName>
    <definedName name="period_end_10" localSheetId="3">#REF!</definedName>
    <definedName name="period_end_10" localSheetId="4">#REF!</definedName>
    <definedName name="period_end_10">#REF!</definedName>
    <definedName name="period_end_11" localSheetId="19">#REF!</definedName>
    <definedName name="period_end_11" localSheetId="3">#REF!</definedName>
    <definedName name="period_end_11" localSheetId="4">#REF!</definedName>
    <definedName name="period_end_11">#REF!</definedName>
    <definedName name="period_end_12" localSheetId="19">#REF!</definedName>
    <definedName name="period_end_12" localSheetId="3">#REF!</definedName>
    <definedName name="period_end_12" localSheetId="4">#REF!</definedName>
    <definedName name="period_end_12">#REF!</definedName>
    <definedName name="period_end_2" localSheetId="19">#REF!</definedName>
    <definedName name="period_end_2" localSheetId="3">#REF!</definedName>
    <definedName name="period_end_2" localSheetId="4">#REF!</definedName>
    <definedName name="period_end_2">#REF!</definedName>
    <definedName name="period_end_3" localSheetId="19">#REF!</definedName>
    <definedName name="period_end_3" localSheetId="3">#REF!</definedName>
    <definedName name="period_end_3" localSheetId="4">#REF!</definedName>
    <definedName name="period_end_3">#REF!</definedName>
    <definedName name="period_end_4" localSheetId="19">#REF!</definedName>
    <definedName name="period_end_4" localSheetId="3">#REF!</definedName>
    <definedName name="period_end_4" localSheetId="4">#REF!</definedName>
    <definedName name="period_end_4">#REF!</definedName>
    <definedName name="period_end_5" localSheetId="19">#REF!</definedName>
    <definedName name="period_end_5" localSheetId="3">#REF!</definedName>
    <definedName name="period_end_5" localSheetId="4">#REF!</definedName>
    <definedName name="period_end_5">#REF!</definedName>
    <definedName name="period_end_6" localSheetId="19">#REF!</definedName>
    <definedName name="period_end_6" localSheetId="3">#REF!</definedName>
    <definedName name="period_end_6" localSheetId="4">#REF!</definedName>
    <definedName name="period_end_6">#REF!</definedName>
    <definedName name="period_end_7" localSheetId="19">#REF!</definedName>
    <definedName name="period_end_7" localSheetId="3">#REF!</definedName>
    <definedName name="period_end_7" localSheetId="4">#REF!</definedName>
    <definedName name="period_end_7">#REF!</definedName>
    <definedName name="period_end_8" localSheetId="19">#REF!</definedName>
    <definedName name="period_end_8" localSheetId="3">#REF!</definedName>
    <definedName name="period_end_8" localSheetId="4">#REF!</definedName>
    <definedName name="period_end_8">#REF!</definedName>
    <definedName name="period_end_9" localSheetId="19">#REF!</definedName>
    <definedName name="period_end_9" localSheetId="3">#REF!</definedName>
    <definedName name="period_end_9" localSheetId="4">#REF!</definedName>
    <definedName name="period_end_9">#REF!</definedName>
    <definedName name="PGA" localSheetId="19">'[3]2-Meals'!#REF!</definedName>
    <definedName name="PGA" localSheetId="3">'[3]2-Meals'!#REF!</definedName>
    <definedName name="PGA" localSheetId="4">'[3]2-Meals'!#REF!</definedName>
    <definedName name="PGA">'[3]2-Meals'!#REF!</definedName>
    <definedName name="PLANT_BAL">#REF!</definedName>
    <definedName name="PLANT_BAL2" localSheetId="19">#REF!</definedName>
    <definedName name="PLANT_BAL2" localSheetId="3">#REF!</definedName>
    <definedName name="PLANT_BAL2" localSheetId="4">#REF!</definedName>
    <definedName name="PLANT_BAL2">#REF!</definedName>
    <definedName name="Post_Retire" localSheetId="19">'[3]2-Meals'!#REF!</definedName>
    <definedName name="Post_Retire" localSheetId="3">'[3]2-Meals'!#REF!</definedName>
    <definedName name="Post_Retire" localSheetId="4">'[3]2-Meals'!#REF!</definedName>
    <definedName name="Post_Retire">'[3]2-Meals'!#REF!</definedName>
    <definedName name="PRINT" localSheetId="19">#REF!</definedName>
    <definedName name="PRINT" localSheetId="3">#REF!</definedName>
    <definedName name="PRINT" localSheetId="4">#REF!</definedName>
    <definedName name="PRINT">#REF!</definedName>
    <definedName name="_xlnm.Print_Area" localSheetId="19">ADIT!$A$8:$F$49</definedName>
    <definedName name="_xlnm.Print_Area" localSheetId="20">'ExpRecl&amp;GrossUp_FRUs'!$A$8:$F$85</definedName>
    <definedName name="_xlnm.Print_Area">#REF!</definedName>
    <definedName name="PRINT_AREA_MI" localSheetId="19">'[8]IT Calc'!#REF!</definedName>
    <definedName name="PRINT_AREA_MI" localSheetId="3">'[8]IT Calc'!#REF!</definedName>
    <definedName name="PRINT_AREA_MI" localSheetId="4">'[8]IT Calc'!#REF!</definedName>
    <definedName name="PRINT_AREA_MI">'[8]IT Calc'!#REF!</definedName>
    <definedName name="PRINT_EXPLANATI" localSheetId="19">#REF!</definedName>
    <definedName name="PRINT_EXPLANATI" localSheetId="3">#REF!</definedName>
    <definedName name="PRINT_EXPLANATI" localSheetId="4">#REF!</definedName>
    <definedName name="PRINT_EXPLANATI">#REF!</definedName>
    <definedName name="_xlnm.Print_Titles" localSheetId="19">ADIT!$1:$7</definedName>
    <definedName name="_xlnm.Print_Titles" localSheetId="20">'ExpRecl&amp;GrossUp_FRUs'!$1:$7</definedName>
    <definedName name="_xlnm.Print_Titles" localSheetId="4">'FT Combined ARAM Summary'!$B:$D</definedName>
    <definedName name="_xlnm.Print_Titles">#REF!</definedName>
    <definedName name="PRINT_TITLES_MI" localSheetId="19">#REF!</definedName>
    <definedName name="PRINT_TITLES_MI" localSheetId="3">#REF!</definedName>
    <definedName name="PRINT_TITLES_MI" localSheetId="4">#REF!</definedName>
    <definedName name="PRINT_TITLES_MI">#REF!</definedName>
    <definedName name="PRIOR_ITCUR" localSheetId="19">#REF!</definedName>
    <definedName name="PRIOR_ITCUR" localSheetId="3">#REF!</definedName>
    <definedName name="PRIOR_ITCUR" localSheetId="4">#REF!</definedName>
    <definedName name="PRIOR_ITCUR">#REF!</definedName>
    <definedName name="PRIOR_TIMING" localSheetId="19">#REF!</definedName>
    <definedName name="PRIOR_TIMING" localSheetId="3">#REF!</definedName>
    <definedName name="PRIOR_TIMING" localSheetId="4">#REF!</definedName>
    <definedName name="PRIOR_TIMING">#REF!</definedName>
    <definedName name="PYTD_ITCUR" localSheetId="19">#REF!</definedName>
    <definedName name="PYTD_ITCUR" localSheetId="3">#REF!</definedName>
    <definedName name="PYTD_ITCUR" localSheetId="4">#REF!</definedName>
    <definedName name="PYTD_ITCUR">#REF!</definedName>
    <definedName name="PYTD_TIMING" localSheetId="19">#REF!</definedName>
    <definedName name="PYTD_TIMING" localSheetId="3">#REF!</definedName>
    <definedName name="PYTD_TIMING" localSheetId="4">#REF!</definedName>
    <definedName name="PYTD_TIMING">#REF!</definedName>
    <definedName name="rate_type" localSheetId="19">#REF!</definedName>
    <definedName name="rate_type" localSheetId="3">#REF!</definedName>
    <definedName name="rate_type" localSheetId="4">#REF!</definedName>
    <definedName name="rate_type">#REF!</definedName>
    <definedName name="RET" localSheetId="19">#REF!</definedName>
    <definedName name="RET" localSheetId="3">#REF!</definedName>
    <definedName name="RET" localSheetId="4">#REF!</definedName>
    <definedName name="RET">#REF!</definedName>
    <definedName name="RET_BY_DIST" localSheetId="19">#REF!</definedName>
    <definedName name="RET_BY_DIST" localSheetId="3">#REF!</definedName>
    <definedName name="RET_BY_DIST" localSheetId="4">#REF!</definedName>
    <definedName name="RET_BY_DIST">#REF!</definedName>
    <definedName name="RIGHT" localSheetId="19">#REF!</definedName>
    <definedName name="RIGHT" localSheetId="3">#REF!</definedName>
    <definedName name="RIGHT" localSheetId="4">#REF!</definedName>
    <definedName name="RIGHT">#REF!</definedName>
    <definedName name="ROWS" localSheetId="19">#REF!</definedName>
    <definedName name="ROWS" localSheetId="3">#REF!</definedName>
    <definedName name="ROWS" localSheetId="4">#REF!</definedName>
    <definedName name="ROWS">#REF!</definedName>
    <definedName name="State" localSheetId="19">#REF!</definedName>
    <definedName name="State" localSheetId="3">#REF!</definedName>
    <definedName name="State" localSheetId="4">#REF!</definedName>
    <definedName name="State">#REF!</definedName>
    <definedName name="Summ">'[9]DEL-updated'!$A$11:$T$372</definedName>
    <definedName name="SUMM_W_OVHD">#REF!</definedName>
    <definedName name="SUMMARY">#REF!</definedName>
    <definedName name="SUMMARY_LEGAL">#REF!</definedName>
    <definedName name="TAX" localSheetId="19">#REF!</definedName>
    <definedName name="TAX" localSheetId="3">#REF!</definedName>
    <definedName name="TAX" localSheetId="4">#REF!</definedName>
    <definedName name="TAX">#REF!</definedName>
    <definedName name="TEST">#REF!</definedName>
    <definedName name="TRUEUP_BAL">#REF!</definedName>
    <definedName name="TRUEUP_BAL2" localSheetId="19">#REF!</definedName>
    <definedName name="TRUEUP_BAL2" localSheetId="3">#REF!</definedName>
    <definedName name="TRUEUP_BAL2" localSheetId="4">#REF!</definedName>
    <definedName name="TRUEUP_BAL2">#REF!</definedName>
    <definedName name="TX" localSheetId="19">#REF!</definedName>
    <definedName name="TX" localSheetId="3">#REF!</definedName>
    <definedName name="TX" localSheetId="4">#REF!</definedName>
    <definedName name="TX">#REF!</definedName>
    <definedName name="TXCALC" localSheetId="19">#REF!</definedName>
    <definedName name="TXCALC" localSheetId="3">#REF!</definedName>
    <definedName name="TXCALC" localSheetId="4">#REF!</definedName>
    <definedName name="TXCALC">#REF!</definedName>
    <definedName name="TXCALC_TEMP" localSheetId="19">#REF!</definedName>
    <definedName name="TXCALC_TEMP" localSheetId="3">#REF!</definedName>
    <definedName name="TXCALC_TEMP" localSheetId="4">#REF!</definedName>
    <definedName name="TXCALC_TEMP">#REF!</definedName>
    <definedName name="u">#REF!</definedName>
    <definedName name="Unbilled" localSheetId="19">'[3]2-Meals'!#REF!</definedName>
    <definedName name="Unbilled" localSheetId="3">'[3]2-Meals'!#REF!</definedName>
    <definedName name="Unbilled" localSheetId="4">'[3]2-Meals'!#REF!</definedName>
    <definedName name="Unbilled">'[3]2-Meals'!#REF!</definedName>
    <definedName name="WORKPAPERS" localSheetId="19">#REF!</definedName>
    <definedName name="WORKPAPERS" localSheetId="3">#REF!</definedName>
    <definedName name="WORKPAPERS" localSheetId="4">#REF!</definedName>
    <definedName name="WORKPAPERS">#REF!</definedName>
  </definedNames>
  <calcPr calcId="162913"/>
  <pivotCaches>
    <pivotCache cacheId="3" r:id="rId31"/>
    <pivotCache cacheId="4" r:id="rId32"/>
    <pivotCache cacheId="5" r:id="rId33"/>
  </pivotCaches>
</workbook>
</file>

<file path=xl/calcChain.xml><?xml version="1.0" encoding="utf-8"?>
<calcChain xmlns="http://schemas.openxmlformats.org/spreadsheetml/2006/main">
  <c r="J15" i="28" l="1"/>
  <c r="D19" i="26"/>
  <c r="E13" i="28" l="1"/>
  <c r="E13" i="27"/>
  <c r="E13" i="26"/>
  <c r="O69" i="22" l="1"/>
  <c r="M69" i="22"/>
  <c r="O58" i="22"/>
  <c r="M58" i="22"/>
  <c r="O52" i="22"/>
  <c r="M52" i="22"/>
  <c r="R47" i="22"/>
  <c r="M14" i="22"/>
  <c r="O14" i="22" s="1"/>
  <c r="N14" i="22"/>
  <c r="M15" i="22"/>
  <c r="N15" i="22"/>
  <c r="O15" i="22"/>
  <c r="M16" i="22"/>
  <c r="N16" i="22"/>
  <c r="O16" i="22"/>
  <c r="M17" i="22"/>
  <c r="O17" i="22" s="1"/>
  <c r="N17" i="22"/>
  <c r="M18" i="22"/>
  <c r="N18" i="22"/>
  <c r="M19" i="22"/>
  <c r="O19" i="22" s="1"/>
  <c r="N19" i="22"/>
  <c r="M20" i="22"/>
  <c r="O20" i="22" s="1"/>
  <c r="N20" i="22"/>
  <c r="M21" i="22"/>
  <c r="N21" i="22"/>
  <c r="M22" i="22"/>
  <c r="O22" i="22" s="1"/>
  <c r="N22" i="22"/>
  <c r="M23" i="22"/>
  <c r="N23" i="22"/>
  <c r="O23" i="22"/>
  <c r="M24" i="22"/>
  <c r="N24" i="22"/>
  <c r="O24" i="22"/>
  <c r="M25" i="22"/>
  <c r="O25" i="22" s="1"/>
  <c r="N25" i="22"/>
  <c r="M26" i="22"/>
  <c r="N26" i="22"/>
  <c r="M27" i="22"/>
  <c r="O27" i="22" s="1"/>
  <c r="N27" i="22"/>
  <c r="M28" i="22"/>
  <c r="O28" i="22" s="1"/>
  <c r="N28" i="22"/>
  <c r="M29" i="22"/>
  <c r="N29" i="22"/>
  <c r="N13" i="22"/>
  <c r="M13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N38" i="22"/>
  <c r="M36" i="22"/>
  <c r="O36" i="22" s="1"/>
  <c r="L31" i="22"/>
  <c r="G11" i="22"/>
  <c r="H11" i="22" s="1"/>
  <c r="M8" i="22"/>
  <c r="H8" i="22"/>
  <c r="H10" i="22" s="1"/>
  <c r="G8" i="22"/>
  <c r="G9" i="22" s="1"/>
  <c r="CJ10" i="21"/>
  <c r="CJ14" i="21" s="1"/>
  <c r="CI10" i="21"/>
  <c r="CI14" i="21" s="1"/>
  <c r="CH10" i="21"/>
  <c r="CH14" i="21" s="1"/>
  <c r="CG10" i="21"/>
  <c r="CG14" i="21" s="1"/>
  <c r="CF10" i="21"/>
  <c r="CF14" i="21" s="1"/>
  <c r="CE10" i="21"/>
  <c r="CE14" i="21" s="1"/>
  <c r="CD10" i="21"/>
  <c r="CD14" i="21" s="1"/>
  <c r="CC10" i="21"/>
  <c r="CC14" i="21" s="1"/>
  <c r="CB10" i="21"/>
  <c r="CB14" i="21" s="1"/>
  <c r="CA10" i="21"/>
  <c r="CA14" i="21" s="1"/>
  <c r="BZ10" i="21"/>
  <c r="BZ14" i="21" s="1"/>
  <c r="BY10" i="21"/>
  <c r="BY14" i="21" s="1"/>
  <c r="BX10" i="21"/>
  <c r="BX14" i="21" s="1"/>
  <c r="BW10" i="21"/>
  <c r="BW14" i="21" s="1"/>
  <c r="BV10" i="21"/>
  <c r="BV14" i="21" s="1"/>
  <c r="BU10" i="21"/>
  <c r="BU14" i="21" s="1"/>
  <c r="BT10" i="21"/>
  <c r="BT14" i="21" s="1"/>
  <c r="BS10" i="21"/>
  <c r="BS14" i="21" s="1"/>
  <c r="BR10" i="21"/>
  <c r="BR14" i="21" s="1"/>
  <c r="BQ10" i="21"/>
  <c r="BQ14" i="21" s="1"/>
  <c r="BP10" i="21"/>
  <c r="BP14" i="21" s="1"/>
  <c r="BO10" i="21"/>
  <c r="BO14" i="21" s="1"/>
  <c r="BN10" i="21"/>
  <c r="BN14" i="21" s="1"/>
  <c r="BM10" i="21"/>
  <c r="BM14" i="21" s="1"/>
  <c r="BL10" i="21"/>
  <c r="BL14" i="21" s="1"/>
  <c r="BK10" i="21"/>
  <c r="BK14" i="21" s="1"/>
  <c r="BJ10" i="21"/>
  <c r="BJ14" i="21" s="1"/>
  <c r="BI10" i="21"/>
  <c r="BI14" i="21" s="1"/>
  <c r="BH10" i="21"/>
  <c r="BH14" i="21" s="1"/>
  <c r="BG10" i="21"/>
  <c r="BG14" i="21" s="1"/>
  <c r="BF10" i="21"/>
  <c r="BF14" i="21" s="1"/>
  <c r="BE10" i="21"/>
  <c r="BE14" i="21" s="1"/>
  <c r="BD10" i="21"/>
  <c r="BD14" i="21" s="1"/>
  <c r="BC10" i="21"/>
  <c r="BC14" i="21" s="1"/>
  <c r="BB10" i="21"/>
  <c r="BB14" i="21" s="1"/>
  <c r="BA10" i="21"/>
  <c r="BA14" i="21" s="1"/>
  <c r="AZ10" i="21"/>
  <c r="AZ14" i="21" s="1"/>
  <c r="AY10" i="21"/>
  <c r="AY14" i="21" s="1"/>
  <c r="AX10" i="21"/>
  <c r="AX14" i="21" s="1"/>
  <c r="AW10" i="21"/>
  <c r="AW14" i="21" s="1"/>
  <c r="AV10" i="21"/>
  <c r="AV14" i="21" s="1"/>
  <c r="AU10" i="21"/>
  <c r="AU14" i="21" s="1"/>
  <c r="AT10" i="21"/>
  <c r="AT14" i="21" s="1"/>
  <c r="AS10" i="21"/>
  <c r="AS14" i="21" s="1"/>
  <c r="AR10" i="21"/>
  <c r="AR14" i="21" s="1"/>
  <c r="AQ10" i="21"/>
  <c r="AQ14" i="21" s="1"/>
  <c r="AP10" i="21"/>
  <c r="AP14" i="21" s="1"/>
  <c r="AO10" i="21"/>
  <c r="AO14" i="21" s="1"/>
  <c r="AN10" i="21"/>
  <c r="AN14" i="21" s="1"/>
  <c r="AM10" i="21"/>
  <c r="AM14" i="21" s="1"/>
  <c r="AL10" i="21"/>
  <c r="AL14" i="21" s="1"/>
  <c r="AK10" i="21"/>
  <c r="AK14" i="21" s="1"/>
  <c r="AJ10" i="21"/>
  <c r="AJ14" i="21" s="1"/>
  <c r="AI10" i="21"/>
  <c r="AI14" i="21" s="1"/>
  <c r="AH10" i="21"/>
  <c r="AH14" i="21" s="1"/>
  <c r="AG10" i="21"/>
  <c r="AG14" i="21" s="1"/>
  <c r="AF10" i="21"/>
  <c r="AF14" i="21" s="1"/>
  <c r="AE10" i="21"/>
  <c r="AE14" i="21" s="1"/>
  <c r="AD10" i="21"/>
  <c r="AD14" i="21" s="1"/>
  <c r="AC10" i="21"/>
  <c r="AC14" i="21" s="1"/>
  <c r="AB10" i="21"/>
  <c r="AB14" i="21" s="1"/>
  <c r="AA10" i="21"/>
  <c r="AA14" i="21" s="1"/>
  <c r="Z10" i="21"/>
  <c r="Z14" i="21" s="1"/>
  <c r="Y10" i="21"/>
  <c r="Y14" i="21" s="1"/>
  <c r="X10" i="21"/>
  <c r="X14" i="21" s="1"/>
  <c r="W10" i="21"/>
  <c r="W14" i="21" s="1"/>
  <c r="V10" i="21"/>
  <c r="V14" i="21" s="1"/>
  <c r="U10" i="21"/>
  <c r="U14" i="21" s="1"/>
  <c r="T10" i="21"/>
  <c r="T14" i="21" s="1"/>
  <c r="S10" i="21"/>
  <c r="S14" i="21" s="1"/>
  <c r="R10" i="21"/>
  <c r="R14" i="21" s="1"/>
  <c r="Q10" i="21"/>
  <c r="Q14" i="21" s="1"/>
  <c r="P10" i="21"/>
  <c r="P14" i="21" s="1"/>
  <c r="O10" i="21"/>
  <c r="O14" i="21" s="1"/>
  <c r="N10" i="21"/>
  <c r="N14" i="21" s="1"/>
  <c r="M10" i="21"/>
  <c r="M14" i="21" s="1"/>
  <c r="L10" i="21"/>
  <c r="L14" i="21" s="1"/>
  <c r="K10" i="21"/>
  <c r="K14" i="21" s="1"/>
  <c r="J10" i="21"/>
  <c r="J14" i="21" s="1"/>
  <c r="I10" i="21"/>
  <c r="I14" i="21" s="1"/>
  <c r="H10" i="21"/>
  <c r="H14" i="21" s="1"/>
  <c r="G10" i="21"/>
  <c r="G14" i="21" s="1"/>
  <c r="F10" i="21"/>
  <c r="F14" i="21" s="1"/>
  <c r="E10" i="21"/>
  <c r="E14" i="21" s="1"/>
  <c r="AB37" i="19"/>
  <c r="F37" i="19"/>
  <c r="E12" i="21" l="1"/>
  <c r="G5" i="28" s="1"/>
  <c r="G5" i="27"/>
  <c r="G11" i="27" s="1"/>
  <c r="D19" i="27" s="1"/>
  <c r="E19" i="27" s="1"/>
  <c r="F19" i="27" s="1"/>
  <c r="G19" i="27" s="1"/>
  <c r="H19" i="27" s="1"/>
  <c r="I19" i="27" s="1"/>
  <c r="J19" i="27" s="1"/>
  <c r="K19" i="27" s="1"/>
  <c r="L19" i="27" s="1"/>
  <c r="M19" i="27" s="1"/>
  <c r="N19" i="27" s="1"/>
  <c r="O19" i="27" s="1"/>
  <c r="I12" i="21"/>
  <c r="C22" i="28" s="1"/>
  <c r="C22" i="27"/>
  <c r="M12" i="21"/>
  <c r="C26" i="28" s="1"/>
  <c r="C26" i="27"/>
  <c r="Q12" i="21"/>
  <c r="C30" i="28" s="1"/>
  <c r="C30" i="27"/>
  <c r="U12" i="21"/>
  <c r="C34" i="28" s="1"/>
  <c r="C34" i="27"/>
  <c r="Y12" i="21"/>
  <c r="C38" i="28" s="1"/>
  <c r="C38" i="27"/>
  <c r="AC12" i="21"/>
  <c r="C42" i="28" s="1"/>
  <c r="C42" i="27"/>
  <c r="AG12" i="21"/>
  <c r="C46" i="28" s="1"/>
  <c r="C46" i="27"/>
  <c r="AK12" i="21"/>
  <c r="C50" i="28" s="1"/>
  <c r="C50" i="27"/>
  <c r="AO12" i="21"/>
  <c r="C54" i="28" s="1"/>
  <c r="C54" i="27"/>
  <c r="AS12" i="21"/>
  <c r="C58" i="28" s="1"/>
  <c r="C58" i="27"/>
  <c r="AW12" i="21"/>
  <c r="C62" i="28" s="1"/>
  <c r="C62" i="27"/>
  <c r="BA12" i="21"/>
  <c r="C66" i="28" s="1"/>
  <c r="C66" i="27"/>
  <c r="BE12" i="21"/>
  <c r="C70" i="28" s="1"/>
  <c r="C70" i="27"/>
  <c r="BI12" i="21"/>
  <c r="C74" i="28" s="1"/>
  <c r="C74" i="27"/>
  <c r="BM12" i="21"/>
  <c r="C78" i="28" s="1"/>
  <c r="C78" i="27"/>
  <c r="BQ12" i="21"/>
  <c r="C82" i="28" s="1"/>
  <c r="C82" i="27"/>
  <c r="BU12" i="21"/>
  <c r="C86" i="28" s="1"/>
  <c r="C86" i="27"/>
  <c r="BY12" i="21"/>
  <c r="C90" i="28" s="1"/>
  <c r="C90" i="27"/>
  <c r="CC12" i="21"/>
  <c r="C94" i="28" s="1"/>
  <c r="C94" i="27"/>
  <c r="CG12" i="21"/>
  <c r="C98" i="28" s="1"/>
  <c r="C98" i="27"/>
  <c r="G19" i="22"/>
  <c r="H19" i="22" s="1"/>
  <c r="F12" i="21"/>
  <c r="C19" i="28" s="1"/>
  <c r="C19" i="27"/>
  <c r="J12" i="21"/>
  <c r="C23" i="28" s="1"/>
  <c r="C23" i="27"/>
  <c r="N12" i="21"/>
  <c r="C27" i="28" s="1"/>
  <c r="C27" i="27"/>
  <c r="R12" i="21"/>
  <c r="C31" i="28" s="1"/>
  <c r="C31" i="27"/>
  <c r="V12" i="21"/>
  <c r="C35" i="28" s="1"/>
  <c r="C35" i="27"/>
  <c r="Z12" i="21"/>
  <c r="C39" i="28" s="1"/>
  <c r="C39" i="27"/>
  <c r="AD12" i="21"/>
  <c r="C43" i="28" s="1"/>
  <c r="C43" i="27"/>
  <c r="AH12" i="21"/>
  <c r="C47" i="28" s="1"/>
  <c r="C47" i="27"/>
  <c r="AL12" i="21"/>
  <c r="C51" i="28" s="1"/>
  <c r="C51" i="27"/>
  <c r="AP12" i="21"/>
  <c r="C55" i="28" s="1"/>
  <c r="C55" i="27"/>
  <c r="AT12" i="21"/>
  <c r="C59" i="28" s="1"/>
  <c r="C59" i="27"/>
  <c r="AX12" i="21"/>
  <c r="C63" i="28" s="1"/>
  <c r="C63" i="27"/>
  <c r="BB12" i="21"/>
  <c r="C67" i="28" s="1"/>
  <c r="C67" i="27"/>
  <c r="BF12" i="21"/>
  <c r="C71" i="28" s="1"/>
  <c r="C71" i="27"/>
  <c r="BJ12" i="21"/>
  <c r="C75" i="28" s="1"/>
  <c r="C75" i="27"/>
  <c r="BN12" i="21"/>
  <c r="C79" i="28" s="1"/>
  <c r="C79" i="27"/>
  <c r="BR12" i="21"/>
  <c r="C83" i="28" s="1"/>
  <c r="C83" i="27"/>
  <c r="BV12" i="21"/>
  <c r="C87" i="28" s="1"/>
  <c r="C87" i="27"/>
  <c r="BZ12" i="21"/>
  <c r="C91" i="28" s="1"/>
  <c r="C91" i="27"/>
  <c r="CD12" i="21"/>
  <c r="C95" i="28" s="1"/>
  <c r="C95" i="27"/>
  <c r="CH12" i="21"/>
  <c r="C99" i="28" s="1"/>
  <c r="C99" i="27"/>
  <c r="G12" i="21"/>
  <c r="C20" i="28" s="1"/>
  <c r="I5" i="28" s="1"/>
  <c r="C20" i="27"/>
  <c r="I5" i="27" s="1"/>
  <c r="K12" i="21"/>
  <c r="C24" i="28" s="1"/>
  <c r="C24" i="27"/>
  <c r="O12" i="21"/>
  <c r="C28" i="28" s="1"/>
  <c r="C28" i="27"/>
  <c r="S12" i="21"/>
  <c r="C32" i="28" s="1"/>
  <c r="C32" i="27"/>
  <c r="W12" i="21"/>
  <c r="C36" i="28" s="1"/>
  <c r="C36" i="27"/>
  <c r="AA12" i="21"/>
  <c r="C40" i="28" s="1"/>
  <c r="C40" i="27"/>
  <c r="AE12" i="21"/>
  <c r="C44" i="28" s="1"/>
  <c r="C44" i="27"/>
  <c r="AI12" i="21"/>
  <c r="C48" i="28" s="1"/>
  <c r="C48" i="27"/>
  <c r="AM12" i="21"/>
  <c r="C52" i="28" s="1"/>
  <c r="C52" i="27"/>
  <c r="AQ12" i="21"/>
  <c r="C56" i="28" s="1"/>
  <c r="C56" i="27"/>
  <c r="AU12" i="21"/>
  <c r="C60" i="28" s="1"/>
  <c r="C60" i="27"/>
  <c r="AY12" i="21"/>
  <c r="C64" i="28" s="1"/>
  <c r="C64" i="27"/>
  <c r="BC12" i="21"/>
  <c r="C68" i="28" s="1"/>
  <c r="C68" i="27"/>
  <c r="BG12" i="21"/>
  <c r="C72" i="28" s="1"/>
  <c r="C72" i="27"/>
  <c r="BK12" i="21"/>
  <c r="C76" i="28" s="1"/>
  <c r="C76" i="27"/>
  <c r="BO12" i="21"/>
  <c r="C80" i="28" s="1"/>
  <c r="C80" i="27"/>
  <c r="BS12" i="21"/>
  <c r="C84" i="28" s="1"/>
  <c r="C84" i="27"/>
  <c r="BW12" i="21"/>
  <c r="C88" i="28" s="1"/>
  <c r="C88" i="27"/>
  <c r="CA12" i="21"/>
  <c r="C92" i="28" s="1"/>
  <c r="C92" i="27"/>
  <c r="CE12" i="21"/>
  <c r="C96" i="28" s="1"/>
  <c r="C96" i="27"/>
  <c r="CI12" i="21"/>
  <c r="C100" i="28" s="1"/>
  <c r="C100" i="27"/>
  <c r="O29" i="22"/>
  <c r="O26" i="22"/>
  <c r="O21" i="22"/>
  <c r="O18" i="22"/>
  <c r="H12" i="21"/>
  <c r="C21" i="28" s="1"/>
  <c r="C21" i="27"/>
  <c r="L12" i="21"/>
  <c r="C25" i="28" s="1"/>
  <c r="C25" i="27"/>
  <c r="P12" i="21"/>
  <c r="C29" i="28" s="1"/>
  <c r="C29" i="27"/>
  <c r="T12" i="21"/>
  <c r="C33" i="28" s="1"/>
  <c r="C33" i="27"/>
  <c r="X12" i="21"/>
  <c r="C37" i="28" s="1"/>
  <c r="C37" i="27"/>
  <c r="AB12" i="21"/>
  <c r="C41" i="28" s="1"/>
  <c r="C41" i="27"/>
  <c r="AF12" i="21"/>
  <c r="C45" i="28" s="1"/>
  <c r="C45" i="27"/>
  <c r="AJ12" i="21"/>
  <c r="C49" i="28" s="1"/>
  <c r="C49" i="27"/>
  <c r="AN12" i="21"/>
  <c r="C53" i="28" s="1"/>
  <c r="C53" i="27"/>
  <c r="AR12" i="21"/>
  <c r="C57" i="28" s="1"/>
  <c r="C57" i="27"/>
  <c r="AV12" i="21"/>
  <c r="C61" i="28" s="1"/>
  <c r="C61" i="27"/>
  <c r="AZ12" i="21"/>
  <c r="C65" i="28" s="1"/>
  <c r="C65" i="27"/>
  <c r="BD12" i="21"/>
  <c r="C69" i="28" s="1"/>
  <c r="C69" i="27"/>
  <c r="BH12" i="21"/>
  <c r="C73" i="28" s="1"/>
  <c r="C73" i="27"/>
  <c r="BL12" i="21"/>
  <c r="C77" i="28" s="1"/>
  <c r="C77" i="27"/>
  <c r="BP12" i="21"/>
  <c r="C81" i="28" s="1"/>
  <c r="C81" i="27"/>
  <c r="BT12" i="21"/>
  <c r="C85" i="28" s="1"/>
  <c r="C85" i="27"/>
  <c r="BX12" i="21"/>
  <c r="C89" i="28" s="1"/>
  <c r="C89" i="27"/>
  <c r="CB12" i="21"/>
  <c r="C93" i="28" s="1"/>
  <c r="C93" i="27"/>
  <c r="CF12" i="21"/>
  <c r="C97" i="28" s="1"/>
  <c r="C97" i="27"/>
  <c r="CJ12" i="21"/>
  <c r="C101" i="28" s="1"/>
  <c r="C101" i="27"/>
  <c r="G28" i="22"/>
  <c r="H28" i="22" s="1"/>
  <c r="K28" i="22" s="1"/>
  <c r="G17" i="22"/>
  <c r="G27" i="22"/>
  <c r="H27" i="22" s="1"/>
  <c r="K27" i="22" s="1"/>
  <c r="G29" i="22"/>
  <c r="H29" i="22" s="1"/>
  <c r="K29" i="22" s="1"/>
  <c r="G16" i="22"/>
  <c r="N31" i="22"/>
  <c r="N40" i="22" s="1"/>
  <c r="G24" i="22"/>
  <c r="H24" i="22" s="1"/>
  <c r="K24" i="22" s="1"/>
  <c r="G22" i="22"/>
  <c r="H22" i="22" s="1"/>
  <c r="M31" i="22"/>
  <c r="G25" i="22"/>
  <c r="H25" i="22" s="1"/>
  <c r="G13" i="22"/>
  <c r="H13" i="22" s="1"/>
  <c r="G14" i="22"/>
  <c r="H14" i="22" s="1"/>
  <c r="K14" i="22" s="1"/>
  <c r="H16" i="22"/>
  <c r="G18" i="22"/>
  <c r="H18" i="22" s="1"/>
  <c r="G26" i="22"/>
  <c r="H26" i="22" s="1"/>
  <c r="K26" i="22" s="1"/>
  <c r="O13" i="22"/>
  <c r="H17" i="22"/>
  <c r="G20" i="22"/>
  <c r="H20" i="22" s="1"/>
  <c r="G21" i="22"/>
  <c r="H21" i="22" s="1"/>
  <c r="G23" i="22"/>
  <c r="H23" i="22" s="1"/>
  <c r="K23" i="22" s="1"/>
  <c r="J21" i="22" l="1"/>
  <c r="K21" i="22" s="1"/>
  <c r="I22" i="22"/>
  <c r="K22" i="22" s="1"/>
  <c r="I20" i="22"/>
  <c r="K20" i="22" s="1"/>
  <c r="I11" i="27"/>
  <c r="J11" i="27" s="1"/>
  <c r="J5" i="27"/>
  <c r="O31" i="22"/>
  <c r="J5" i="28"/>
  <c r="Q19" i="27"/>
  <c r="D20" i="27"/>
  <c r="E20" i="27" s="1"/>
  <c r="I19" i="22"/>
  <c r="K19" i="22" s="1"/>
  <c r="J25" i="22"/>
  <c r="K25" i="22" s="1"/>
  <c r="K18" i="22"/>
  <c r="K17" i="22"/>
  <c r="H31" i="22"/>
  <c r="J13" i="22"/>
  <c r="J31" i="22" s="1"/>
  <c r="G31" i="22"/>
  <c r="F20" i="27" l="1"/>
  <c r="G20" i="27" s="1"/>
  <c r="H20" i="27" s="1"/>
  <c r="I20" i="27" s="1"/>
  <c r="J20" i="27" s="1"/>
  <c r="K20" i="27" s="1"/>
  <c r="L20" i="27" s="1"/>
  <c r="M20" i="27" s="1"/>
  <c r="N20" i="27" s="1"/>
  <c r="O20" i="27" s="1"/>
  <c r="D21" i="27" s="1"/>
  <c r="E21" i="27" s="1"/>
  <c r="F21" i="27" s="1"/>
  <c r="G21" i="27" s="1"/>
  <c r="H21" i="27" s="1"/>
  <c r="I21" i="27" s="1"/>
  <c r="J21" i="27" s="1"/>
  <c r="K21" i="27" s="1"/>
  <c r="L21" i="27" s="1"/>
  <c r="M21" i="27" s="1"/>
  <c r="N21" i="27" s="1"/>
  <c r="O21" i="27" s="1"/>
  <c r="D22" i="27" s="1"/>
  <c r="E22" i="27" s="1"/>
  <c r="F22" i="27" s="1"/>
  <c r="G22" i="27" s="1"/>
  <c r="H22" i="27" s="1"/>
  <c r="I22" i="27" s="1"/>
  <c r="J22" i="27" s="1"/>
  <c r="K22" i="27" s="1"/>
  <c r="L22" i="27" s="1"/>
  <c r="M22" i="27" s="1"/>
  <c r="N22" i="27" s="1"/>
  <c r="O22" i="27" s="1"/>
  <c r="D23" i="27" s="1"/>
  <c r="E23" i="27" s="1"/>
  <c r="F23" i="27" s="1"/>
  <c r="G23" i="27" s="1"/>
  <c r="H23" i="27" s="1"/>
  <c r="I23" i="27" s="1"/>
  <c r="J23" i="27" s="1"/>
  <c r="K23" i="27" s="1"/>
  <c r="L23" i="27" s="1"/>
  <c r="M23" i="27" s="1"/>
  <c r="N23" i="27" s="1"/>
  <c r="O23" i="27" s="1"/>
  <c r="D24" i="27" s="1"/>
  <c r="E24" i="27" s="1"/>
  <c r="F24" i="27" s="1"/>
  <c r="G24" i="27" s="1"/>
  <c r="H24" i="27" s="1"/>
  <c r="I24" i="27" s="1"/>
  <c r="J24" i="27" s="1"/>
  <c r="K24" i="27" s="1"/>
  <c r="L24" i="27" s="1"/>
  <c r="M24" i="27" s="1"/>
  <c r="N24" i="27" s="1"/>
  <c r="O24" i="27" s="1"/>
  <c r="D25" i="27" s="1"/>
  <c r="E25" i="27" s="1"/>
  <c r="F25" i="27" s="1"/>
  <c r="G25" i="27" s="1"/>
  <c r="H25" i="27" s="1"/>
  <c r="I25" i="27" s="1"/>
  <c r="J25" i="27" s="1"/>
  <c r="K25" i="27" s="1"/>
  <c r="L25" i="27" s="1"/>
  <c r="M25" i="27" s="1"/>
  <c r="N25" i="27" s="1"/>
  <c r="O25" i="27" s="1"/>
  <c r="D26" i="27" s="1"/>
  <c r="E26" i="27" s="1"/>
  <c r="F26" i="27" s="1"/>
  <c r="G26" i="27" s="1"/>
  <c r="H26" i="27" s="1"/>
  <c r="I26" i="27" s="1"/>
  <c r="J26" i="27" s="1"/>
  <c r="K26" i="27" s="1"/>
  <c r="L26" i="27" s="1"/>
  <c r="M26" i="27" s="1"/>
  <c r="N26" i="27" s="1"/>
  <c r="O26" i="27" s="1"/>
  <c r="D27" i="27" s="1"/>
  <c r="E27" i="27" s="1"/>
  <c r="F27" i="27" s="1"/>
  <c r="G27" i="27" s="1"/>
  <c r="H27" i="27" s="1"/>
  <c r="I27" i="27" s="1"/>
  <c r="J27" i="27" s="1"/>
  <c r="K27" i="27" s="1"/>
  <c r="L27" i="27" s="1"/>
  <c r="M27" i="27" s="1"/>
  <c r="N27" i="27" s="1"/>
  <c r="O27" i="27" s="1"/>
  <c r="D28" i="27" s="1"/>
  <c r="E28" i="27" s="1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D29" i="27" s="1"/>
  <c r="E29" i="27" s="1"/>
  <c r="F29" i="27" s="1"/>
  <c r="G29" i="27" s="1"/>
  <c r="H29" i="27" s="1"/>
  <c r="I29" i="27" s="1"/>
  <c r="J29" i="27" s="1"/>
  <c r="K29" i="27" s="1"/>
  <c r="L29" i="27" s="1"/>
  <c r="M29" i="27" s="1"/>
  <c r="N29" i="27" s="1"/>
  <c r="O29" i="27" s="1"/>
  <c r="D30" i="27" s="1"/>
  <c r="E30" i="27" s="1"/>
  <c r="F30" i="27" s="1"/>
  <c r="G30" i="27" s="1"/>
  <c r="H30" i="27" s="1"/>
  <c r="I30" i="27" s="1"/>
  <c r="J30" i="27" s="1"/>
  <c r="K30" i="27" s="1"/>
  <c r="L30" i="27" s="1"/>
  <c r="M30" i="27" s="1"/>
  <c r="N30" i="27" s="1"/>
  <c r="O30" i="27" s="1"/>
  <c r="D31" i="27" s="1"/>
  <c r="E31" i="27" s="1"/>
  <c r="F31" i="27" s="1"/>
  <c r="G31" i="27" s="1"/>
  <c r="H31" i="27" s="1"/>
  <c r="I31" i="27" s="1"/>
  <c r="J31" i="27" s="1"/>
  <c r="K31" i="27" s="1"/>
  <c r="L31" i="27" s="1"/>
  <c r="M31" i="27" s="1"/>
  <c r="N31" i="27" s="1"/>
  <c r="O31" i="27" s="1"/>
  <c r="D32" i="27" s="1"/>
  <c r="E32" i="27" s="1"/>
  <c r="F32" i="27" s="1"/>
  <c r="G32" i="27" s="1"/>
  <c r="H32" i="27" s="1"/>
  <c r="I32" i="27" s="1"/>
  <c r="J32" i="27" s="1"/>
  <c r="K32" i="27" s="1"/>
  <c r="L32" i="27" s="1"/>
  <c r="M32" i="27" s="1"/>
  <c r="N32" i="27" s="1"/>
  <c r="O32" i="27" s="1"/>
  <c r="D33" i="27" s="1"/>
  <c r="E33" i="27" s="1"/>
  <c r="F33" i="27" s="1"/>
  <c r="G33" i="27" s="1"/>
  <c r="H33" i="27" s="1"/>
  <c r="I33" i="27" s="1"/>
  <c r="J33" i="27" s="1"/>
  <c r="K33" i="27" s="1"/>
  <c r="L33" i="27" s="1"/>
  <c r="M33" i="27" s="1"/>
  <c r="N33" i="27" s="1"/>
  <c r="O33" i="27" s="1"/>
  <c r="D34" i="27" s="1"/>
  <c r="E34" i="27" s="1"/>
  <c r="F34" i="27" s="1"/>
  <c r="G34" i="27" s="1"/>
  <c r="H34" i="27" s="1"/>
  <c r="I34" i="27" s="1"/>
  <c r="J34" i="27" s="1"/>
  <c r="K34" i="27" s="1"/>
  <c r="L34" i="27" s="1"/>
  <c r="M34" i="27" s="1"/>
  <c r="N34" i="27" s="1"/>
  <c r="O34" i="27" s="1"/>
  <c r="D35" i="27" s="1"/>
  <c r="E35" i="27" s="1"/>
  <c r="F35" i="27" s="1"/>
  <c r="G35" i="27" s="1"/>
  <c r="H35" i="27" s="1"/>
  <c r="I35" i="27" s="1"/>
  <c r="J35" i="27" s="1"/>
  <c r="K35" i="27" s="1"/>
  <c r="L35" i="27" s="1"/>
  <c r="M35" i="27" s="1"/>
  <c r="N35" i="27" s="1"/>
  <c r="O35" i="27" s="1"/>
  <c r="D36" i="27" s="1"/>
  <c r="E36" i="27" s="1"/>
  <c r="F36" i="27" s="1"/>
  <c r="G36" i="27" s="1"/>
  <c r="H36" i="27" s="1"/>
  <c r="I36" i="27" s="1"/>
  <c r="J36" i="27" s="1"/>
  <c r="K36" i="27" s="1"/>
  <c r="L36" i="27" s="1"/>
  <c r="M36" i="27" s="1"/>
  <c r="N36" i="27" s="1"/>
  <c r="O36" i="27" s="1"/>
  <c r="D37" i="27" s="1"/>
  <c r="E37" i="27" s="1"/>
  <c r="F37" i="27" s="1"/>
  <c r="G37" i="27" s="1"/>
  <c r="H37" i="27" s="1"/>
  <c r="I37" i="27" s="1"/>
  <c r="J37" i="27" s="1"/>
  <c r="K37" i="27" s="1"/>
  <c r="L37" i="27" s="1"/>
  <c r="M37" i="27" s="1"/>
  <c r="N37" i="27" s="1"/>
  <c r="O37" i="27" s="1"/>
  <c r="D38" i="27" s="1"/>
  <c r="E38" i="27" s="1"/>
  <c r="F38" i="27" s="1"/>
  <c r="G38" i="27" s="1"/>
  <c r="H38" i="27" s="1"/>
  <c r="I38" i="27" s="1"/>
  <c r="J38" i="27" s="1"/>
  <c r="K38" i="27" s="1"/>
  <c r="L38" i="27" s="1"/>
  <c r="M38" i="27" s="1"/>
  <c r="N38" i="27" s="1"/>
  <c r="O38" i="27" s="1"/>
  <c r="D39" i="27" s="1"/>
  <c r="E39" i="27" s="1"/>
  <c r="F39" i="27" s="1"/>
  <c r="G39" i="27" s="1"/>
  <c r="H39" i="27" s="1"/>
  <c r="I39" i="27" s="1"/>
  <c r="J39" i="27" s="1"/>
  <c r="K39" i="27" s="1"/>
  <c r="L39" i="27" s="1"/>
  <c r="M39" i="27" s="1"/>
  <c r="N39" i="27" s="1"/>
  <c r="O39" i="27" s="1"/>
  <c r="D40" i="27" s="1"/>
  <c r="E40" i="27" s="1"/>
  <c r="F40" i="27" s="1"/>
  <c r="G40" i="27" s="1"/>
  <c r="H40" i="27" s="1"/>
  <c r="I40" i="27" s="1"/>
  <c r="J40" i="27" s="1"/>
  <c r="K40" i="27" s="1"/>
  <c r="L40" i="27" s="1"/>
  <c r="M40" i="27" s="1"/>
  <c r="N40" i="27" s="1"/>
  <c r="O40" i="27" s="1"/>
  <c r="D41" i="27" s="1"/>
  <c r="E41" i="27" s="1"/>
  <c r="F41" i="27" s="1"/>
  <c r="G41" i="27" s="1"/>
  <c r="H41" i="27" s="1"/>
  <c r="I41" i="27" s="1"/>
  <c r="J41" i="27" s="1"/>
  <c r="K41" i="27" s="1"/>
  <c r="L41" i="27" s="1"/>
  <c r="M41" i="27" s="1"/>
  <c r="N41" i="27" s="1"/>
  <c r="O41" i="27" s="1"/>
  <c r="D42" i="27" s="1"/>
  <c r="E42" i="27" s="1"/>
  <c r="F42" i="27" s="1"/>
  <c r="G42" i="27" s="1"/>
  <c r="H42" i="27" s="1"/>
  <c r="I42" i="27" s="1"/>
  <c r="J42" i="27" s="1"/>
  <c r="K42" i="27" s="1"/>
  <c r="L42" i="27" s="1"/>
  <c r="M42" i="27" s="1"/>
  <c r="N42" i="27" s="1"/>
  <c r="O42" i="27" s="1"/>
  <c r="D43" i="27" s="1"/>
  <c r="E43" i="27" s="1"/>
  <c r="F43" i="27" s="1"/>
  <c r="G43" i="27" s="1"/>
  <c r="H43" i="27" s="1"/>
  <c r="I43" i="27" s="1"/>
  <c r="J43" i="27" s="1"/>
  <c r="K43" i="27" s="1"/>
  <c r="L43" i="27" s="1"/>
  <c r="M43" i="27" s="1"/>
  <c r="N43" i="27" s="1"/>
  <c r="O43" i="27" s="1"/>
  <c r="D44" i="27" s="1"/>
  <c r="E44" i="27" s="1"/>
  <c r="F44" i="27" s="1"/>
  <c r="G44" i="27" s="1"/>
  <c r="H44" i="27" s="1"/>
  <c r="I44" i="27" s="1"/>
  <c r="J44" i="27" s="1"/>
  <c r="K44" i="27" s="1"/>
  <c r="L44" i="27" s="1"/>
  <c r="M44" i="27" s="1"/>
  <c r="N44" i="27" s="1"/>
  <c r="O44" i="27" s="1"/>
  <c r="D45" i="27" s="1"/>
  <c r="E45" i="27" s="1"/>
  <c r="F45" i="27" s="1"/>
  <c r="G45" i="27" s="1"/>
  <c r="H45" i="27" s="1"/>
  <c r="I45" i="27" s="1"/>
  <c r="J45" i="27" s="1"/>
  <c r="K45" i="27" s="1"/>
  <c r="L45" i="27" s="1"/>
  <c r="M45" i="27" s="1"/>
  <c r="N45" i="27" s="1"/>
  <c r="O45" i="27" s="1"/>
  <c r="D46" i="27" s="1"/>
  <c r="E46" i="27" s="1"/>
  <c r="F46" i="27" s="1"/>
  <c r="G46" i="27" s="1"/>
  <c r="H46" i="27" s="1"/>
  <c r="I46" i="27" s="1"/>
  <c r="J46" i="27" s="1"/>
  <c r="K46" i="27" s="1"/>
  <c r="L46" i="27" s="1"/>
  <c r="M46" i="27" s="1"/>
  <c r="N46" i="27" s="1"/>
  <c r="O46" i="27" s="1"/>
  <c r="D47" i="27" s="1"/>
  <c r="E47" i="27" s="1"/>
  <c r="F47" i="27" s="1"/>
  <c r="G47" i="27" s="1"/>
  <c r="H47" i="27" s="1"/>
  <c r="I47" i="27" s="1"/>
  <c r="J47" i="27" s="1"/>
  <c r="K47" i="27" s="1"/>
  <c r="L47" i="27" s="1"/>
  <c r="M47" i="27" s="1"/>
  <c r="N47" i="27" s="1"/>
  <c r="O47" i="27" s="1"/>
  <c r="D48" i="27" s="1"/>
  <c r="E48" i="27" s="1"/>
  <c r="F48" i="27" s="1"/>
  <c r="G48" i="27" s="1"/>
  <c r="H48" i="27" s="1"/>
  <c r="I48" i="27" s="1"/>
  <c r="J48" i="27" s="1"/>
  <c r="K48" i="27" s="1"/>
  <c r="L48" i="27" s="1"/>
  <c r="M48" i="27" s="1"/>
  <c r="N48" i="27" s="1"/>
  <c r="O48" i="27" s="1"/>
  <c r="D49" i="27" s="1"/>
  <c r="E49" i="27" s="1"/>
  <c r="F49" i="27" s="1"/>
  <c r="G49" i="27" s="1"/>
  <c r="H49" i="27" s="1"/>
  <c r="I49" i="27" s="1"/>
  <c r="J49" i="27" s="1"/>
  <c r="K49" i="27" s="1"/>
  <c r="L49" i="27" s="1"/>
  <c r="M49" i="27" s="1"/>
  <c r="N49" i="27" s="1"/>
  <c r="O49" i="27" s="1"/>
  <c r="D50" i="27" s="1"/>
  <c r="E50" i="27" s="1"/>
  <c r="F50" i="27" s="1"/>
  <c r="G50" i="27" s="1"/>
  <c r="H50" i="27" s="1"/>
  <c r="I50" i="27" s="1"/>
  <c r="J50" i="27" s="1"/>
  <c r="K50" i="27" s="1"/>
  <c r="L50" i="27" s="1"/>
  <c r="M50" i="27" s="1"/>
  <c r="N50" i="27" s="1"/>
  <c r="O50" i="27" s="1"/>
  <c r="D51" i="27" s="1"/>
  <c r="E51" i="27" s="1"/>
  <c r="F51" i="27" s="1"/>
  <c r="G51" i="27" s="1"/>
  <c r="H51" i="27" s="1"/>
  <c r="I51" i="27" s="1"/>
  <c r="J51" i="27" s="1"/>
  <c r="K51" i="27" s="1"/>
  <c r="L51" i="27" s="1"/>
  <c r="M51" i="27" s="1"/>
  <c r="N51" i="27" s="1"/>
  <c r="O51" i="27" s="1"/>
  <c r="D52" i="27" s="1"/>
  <c r="E52" i="27" s="1"/>
  <c r="F52" i="27" s="1"/>
  <c r="G52" i="27" s="1"/>
  <c r="H52" i="27" s="1"/>
  <c r="I52" i="27" s="1"/>
  <c r="J52" i="27" s="1"/>
  <c r="K52" i="27" s="1"/>
  <c r="L52" i="27" s="1"/>
  <c r="M52" i="27" s="1"/>
  <c r="N52" i="27" s="1"/>
  <c r="O52" i="27" s="1"/>
  <c r="D53" i="27" s="1"/>
  <c r="E53" i="27" s="1"/>
  <c r="F53" i="27" s="1"/>
  <c r="G53" i="27" s="1"/>
  <c r="H53" i="27" s="1"/>
  <c r="I53" i="27" s="1"/>
  <c r="J53" i="27" s="1"/>
  <c r="K53" i="27" s="1"/>
  <c r="L53" i="27" s="1"/>
  <c r="M53" i="27" s="1"/>
  <c r="N53" i="27" s="1"/>
  <c r="O53" i="27" s="1"/>
  <c r="D54" i="27" s="1"/>
  <c r="E54" i="27" s="1"/>
  <c r="F54" i="27" s="1"/>
  <c r="G54" i="27" s="1"/>
  <c r="H54" i="27" s="1"/>
  <c r="I54" i="27" s="1"/>
  <c r="J54" i="27" s="1"/>
  <c r="K54" i="27" s="1"/>
  <c r="L54" i="27" s="1"/>
  <c r="M54" i="27" s="1"/>
  <c r="N54" i="27" s="1"/>
  <c r="O54" i="27" s="1"/>
  <c r="D55" i="27" s="1"/>
  <c r="E55" i="27" s="1"/>
  <c r="F55" i="27" s="1"/>
  <c r="G55" i="27" s="1"/>
  <c r="H55" i="27" s="1"/>
  <c r="I55" i="27" s="1"/>
  <c r="J55" i="27" s="1"/>
  <c r="K55" i="27" s="1"/>
  <c r="L55" i="27" s="1"/>
  <c r="M55" i="27" s="1"/>
  <c r="N55" i="27" s="1"/>
  <c r="O55" i="27" s="1"/>
  <c r="D56" i="27" s="1"/>
  <c r="E56" i="27" s="1"/>
  <c r="F56" i="27" s="1"/>
  <c r="G56" i="27" s="1"/>
  <c r="H56" i="27" s="1"/>
  <c r="I56" i="27" s="1"/>
  <c r="J56" i="27" s="1"/>
  <c r="K56" i="27" s="1"/>
  <c r="L56" i="27" s="1"/>
  <c r="M56" i="27" s="1"/>
  <c r="N56" i="27" s="1"/>
  <c r="O56" i="27" s="1"/>
  <c r="D57" i="27" s="1"/>
  <c r="E57" i="27" s="1"/>
  <c r="F57" i="27" s="1"/>
  <c r="G57" i="27" s="1"/>
  <c r="H57" i="27" s="1"/>
  <c r="I57" i="27" s="1"/>
  <c r="J57" i="27" s="1"/>
  <c r="K57" i="27" s="1"/>
  <c r="L57" i="27" s="1"/>
  <c r="M57" i="27" s="1"/>
  <c r="N57" i="27" s="1"/>
  <c r="O57" i="27" s="1"/>
  <c r="D58" i="27" s="1"/>
  <c r="E58" i="27" s="1"/>
  <c r="F58" i="27" s="1"/>
  <c r="G58" i="27" s="1"/>
  <c r="H58" i="27" s="1"/>
  <c r="I58" i="27" s="1"/>
  <c r="J58" i="27" s="1"/>
  <c r="K58" i="27" s="1"/>
  <c r="L58" i="27" s="1"/>
  <c r="M58" i="27" s="1"/>
  <c r="N58" i="27" s="1"/>
  <c r="O58" i="27" s="1"/>
  <c r="D59" i="27" s="1"/>
  <c r="E59" i="27" s="1"/>
  <c r="F59" i="27" s="1"/>
  <c r="G59" i="27" s="1"/>
  <c r="H59" i="27" s="1"/>
  <c r="I59" i="27" s="1"/>
  <c r="J59" i="27" s="1"/>
  <c r="K59" i="27" s="1"/>
  <c r="L59" i="27" s="1"/>
  <c r="M59" i="27" s="1"/>
  <c r="N59" i="27" s="1"/>
  <c r="O59" i="27" s="1"/>
  <c r="D60" i="27" s="1"/>
  <c r="E60" i="27" s="1"/>
  <c r="F60" i="27" s="1"/>
  <c r="G60" i="27" s="1"/>
  <c r="H60" i="27" s="1"/>
  <c r="I60" i="27" s="1"/>
  <c r="J60" i="27" s="1"/>
  <c r="K60" i="27" s="1"/>
  <c r="L60" i="27" s="1"/>
  <c r="M60" i="27" s="1"/>
  <c r="N60" i="27" s="1"/>
  <c r="O60" i="27" s="1"/>
  <c r="D61" i="27" s="1"/>
  <c r="E61" i="27" s="1"/>
  <c r="F61" i="27" s="1"/>
  <c r="G61" i="27" s="1"/>
  <c r="H61" i="27" s="1"/>
  <c r="I61" i="27" s="1"/>
  <c r="J61" i="27" s="1"/>
  <c r="K61" i="27" s="1"/>
  <c r="L61" i="27" s="1"/>
  <c r="M61" i="27" s="1"/>
  <c r="N61" i="27" s="1"/>
  <c r="O61" i="27" s="1"/>
  <c r="D62" i="27" s="1"/>
  <c r="E62" i="27" s="1"/>
  <c r="F62" i="27" s="1"/>
  <c r="G62" i="27" s="1"/>
  <c r="H62" i="27" s="1"/>
  <c r="I62" i="27" s="1"/>
  <c r="J62" i="27" s="1"/>
  <c r="K62" i="27" s="1"/>
  <c r="L62" i="27" s="1"/>
  <c r="M62" i="27" s="1"/>
  <c r="N62" i="27" s="1"/>
  <c r="O62" i="27" s="1"/>
  <c r="D63" i="27" s="1"/>
  <c r="E63" i="27" s="1"/>
  <c r="F63" i="27" s="1"/>
  <c r="G63" i="27" s="1"/>
  <c r="H63" i="27" s="1"/>
  <c r="I63" i="27" s="1"/>
  <c r="J63" i="27" s="1"/>
  <c r="K63" i="27" s="1"/>
  <c r="L63" i="27" s="1"/>
  <c r="M63" i="27" s="1"/>
  <c r="N63" i="27" s="1"/>
  <c r="O63" i="27" s="1"/>
  <c r="D64" i="27" s="1"/>
  <c r="E64" i="27" s="1"/>
  <c r="F64" i="27" s="1"/>
  <c r="G64" i="27" s="1"/>
  <c r="H64" i="27" s="1"/>
  <c r="I64" i="27" s="1"/>
  <c r="J64" i="27" s="1"/>
  <c r="K64" i="27" s="1"/>
  <c r="L64" i="27" s="1"/>
  <c r="M64" i="27" s="1"/>
  <c r="N64" i="27" s="1"/>
  <c r="O64" i="27" s="1"/>
  <c r="D65" i="27" s="1"/>
  <c r="E65" i="27" s="1"/>
  <c r="F65" i="27" s="1"/>
  <c r="G65" i="27" s="1"/>
  <c r="H65" i="27" s="1"/>
  <c r="I65" i="27" s="1"/>
  <c r="J65" i="27" s="1"/>
  <c r="K65" i="27" s="1"/>
  <c r="L65" i="27" s="1"/>
  <c r="M65" i="27" s="1"/>
  <c r="N65" i="27" s="1"/>
  <c r="O65" i="27" s="1"/>
  <c r="D66" i="27" s="1"/>
  <c r="E66" i="27" s="1"/>
  <c r="F66" i="27" s="1"/>
  <c r="G66" i="27" s="1"/>
  <c r="H66" i="27" s="1"/>
  <c r="I66" i="27" s="1"/>
  <c r="J66" i="27" s="1"/>
  <c r="K66" i="27" s="1"/>
  <c r="L66" i="27" s="1"/>
  <c r="M66" i="27" s="1"/>
  <c r="N66" i="27" s="1"/>
  <c r="O66" i="27" s="1"/>
  <c r="D67" i="27" s="1"/>
  <c r="E67" i="27" s="1"/>
  <c r="F67" i="27" s="1"/>
  <c r="G67" i="27" s="1"/>
  <c r="H67" i="27" s="1"/>
  <c r="I67" i="27" s="1"/>
  <c r="J67" i="27" s="1"/>
  <c r="K67" i="27" s="1"/>
  <c r="L67" i="27" s="1"/>
  <c r="M67" i="27" s="1"/>
  <c r="N67" i="27" s="1"/>
  <c r="O67" i="27" s="1"/>
  <c r="D68" i="27" s="1"/>
  <c r="E68" i="27" s="1"/>
  <c r="F68" i="27" s="1"/>
  <c r="G68" i="27" s="1"/>
  <c r="H68" i="27" s="1"/>
  <c r="I68" i="27" s="1"/>
  <c r="J68" i="27" s="1"/>
  <c r="K68" i="27" s="1"/>
  <c r="L68" i="27" s="1"/>
  <c r="M68" i="27" s="1"/>
  <c r="N68" i="27" s="1"/>
  <c r="O68" i="27" s="1"/>
  <c r="D69" i="27" s="1"/>
  <c r="E69" i="27" s="1"/>
  <c r="F69" i="27" s="1"/>
  <c r="G69" i="27" s="1"/>
  <c r="H69" i="27" s="1"/>
  <c r="I69" i="27" s="1"/>
  <c r="J69" i="27" s="1"/>
  <c r="K69" i="27" s="1"/>
  <c r="L69" i="27" s="1"/>
  <c r="M69" i="27" s="1"/>
  <c r="N69" i="27" s="1"/>
  <c r="O69" i="27" s="1"/>
  <c r="D70" i="27" s="1"/>
  <c r="E70" i="27" s="1"/>
  <c r="F70" i="27" s="1"/>
  <c r="G70" i="27" s="1"/>
  <c r="H70" i="27" s="1"/>
  <c r="I70" i="27" s="1"/>
  <c r="J70" i="27" s="1"/>
  <c r="K70" i="27" s="1"/>
  <c r="L70" i="27" s="1"/>
  <c r="M70" i="27" s="1"/>
  <c r="N70" i="27" s="1"/>
  <c r="O70" i="27" s="1"/>
  <c r="D71" i="27" s="1"/>
  <c r="E71" i="27" s="1"/>
  <c r="F71" i="27" s="1"/>
  <c r="G71" i="27" s="1"/>
  <c r="H71" i="27" s="1"/>
  <c r="I71" i="27" s="1"/>
  <c r="J71" i="27" s="1"/>
  <c r="K71" i="27" s="1"/>
  <c r="L71" i="27" s="1"/>
  <c r="M71" i="27" s="1"/>
  <c r="N71" i="27" s="1"/>
  <c r="O71" i="27" s="1"/>
  <c r="D72" i="27" s="1"/>
  <c r="E72" i="27" s="1"/>
  <c r="F72" i="27" s="1"/>
  <c r="G72" i="27" s="1"/>
  <c r="H72" i="27" s="1"/>
  <c r="I72" i="27" s="1"/>
  <c r="J72" i="27" s="1"/>
  <c r="K72" i="27" s="1"/>
  <c r="L72" i="27" s="1"/>
  <c r="M72" i="27" s="1"/>
  <c r="N72" i="27" s="1"/>
  <c r="O72" i="27" s="1"/>
  <c r="D73" i="27" s="1"/>
  <c r="E73" i="27" s="1"/>
  <c r="F73" i="27" s="1"/>
  <c r="G73" i="27" s="1"/>
  <c r="H73" i="27" s="1"/>
  <c r="I73" i="27" s="1"/>
  <c r="J73" i="27" s="1"/>
  <c r="K73" i="27" s="1"/>
  <c r="L73" i="27" s="1"/>
  <c r="M73" i="27" s="1"/>
  <c r="N73" i="27" s="1"/>
  <c r="O73" i="27" s="1"/>
  <c r="D74" i="27" s="1"/>
  <c r="E74" i="27" s="1"/>
  <c r="F74" i="27" s="1"/>
  <c r="G74" i="27" s="1"/>
  <c r="H74" i="27" s="1"/>
  <c r="I74" i="27" s="1"/>
  <c r="J74" i="27" s="1"/>
  <c r="K74" i="27" s="1"/>
  <c r="L74" i="27" s="1"/>
  <c r="M74" i="27" s="1"/>
  <c r="N74" i="27" s="1"/>
  <c r="O74" i="27" s="1"/>
  <c r="D75" i="27" s="1"/>
  <c r="E75" i="27" s="1"/>
  <c r="F75" i="27" s="1"/>
  <c r="G75" i="27" s="1"/>
  <c r="H75" i="27" s="1"/>
  <c r="I75" i="27" s="1"/>
  <c r="J75" i="27" s="1"/>
  <c r="K75" i="27" s="1"/>
  <c r="L75" i="27" s="1"/>
  <c r="M75" i="27" s="1"/>
  <c r="N75" i="27" s="1"/>
  <c r="O75" i="27" s="1"/>
  <c r="D76" i="27" s="1"/>
  <c r="E76" i="27" s="1"/>
  <c r="F76" i="27" s="1"/>
  <c r="G76" i="27" s="1"/>
  <c r="H76" i="27" s="1"/>
  <c r="I76" i="27" s="1"/>
  <c r="J76" i="27" s="1"/>
  <c r="K76" i="27" s="1"/>
  <c r="L76" i="27" s="1"/>
  <c r="M76" i="27" s="1"/>
  <c r="N76" i="27" s="1"/>
  <c r="O76" i="27" s="1"/>
  <c r="D77" i="27" s="1"/>
  <c r="E77" i="27" s="1"/>
  <c r="F77" i="27" s="1"/>
  <c r="G77" i="27" s="1"/>
  <c r="H77" i="27" s="1"/>
  <c r="I77" i="27" s="1"/>
  <c r="J77" i="27" s="1"/>
  <c r="K77" i="27" s="1"/>
  <c r="L77" i="27" s="1"/>
  <c r="M77" i="27" s="1"/>
  <c r="N77" i="27" s="1"/>
  <c r="O77" i="27" s="1"/>
  <c r="D78" i="27" s="1"/>
  <c r="E78" i="27" s="1"/>
  <c r="F78" i="27" s="1"/>
  <c r="G78" i="27" s="1"/>
  <c r="H78" i="27" s="1"/>
  <c r="I78" i="27" s="1"/>
  <c r="J78" i="27" s="1"/>
  <c r="K78" i="27" s="1"/>
  <c r="L78" i="27" s="1"/>
  <c r="M78" i="27" s="1"/>
  <c r="N78" i="27" s="1"/>
  <c r="O78" i="27" s="1"/>
  <c r="D79" i="27" s="1"/>
  <c r="E79" i="27" s="1"/>
  <c r="F79" i="27" s="1"/>
  <c r="G79" i="27" s="1"/>
  <c r="H79" i="27" s="1"/>
  <c r="I79" i="27" s="1"/>
  <c r="J79" i="27" s="1"/>
  <c r="K79" i="27" s="1"/>
  <c r="L79" i="27" s="1"/>
  <c r="M79" i="27" s="1"/>
  <c r="N79" i="27" s="1"/>
  <c r="O79" i="27" s="1"/>
  <c r="D80" i="27" s="1"/>
  <c r="E80" i="27" s="1"/>
  <c r="F80" i="27" s="1"/>
  <c r="G80" i="27" s="1"/>
  <c r="H80" i="27" s="1"/>
  <c r="I80" i="27" s="1"/>
  <c r="J80" i="27" s="1"/>
  <c r="K80" i="27" s="1"/>
  <c r="L80" i="27" s="1"/>
  <c r="M80" i="27" s="1"/>
  <c r="N80" i="27" s="1"/>
  <c r="O80" i="27" s="1"/>
  <c r="D81" i="27" s="1"/>
  <c r="E81" i="27" s="1"/>
  <c r="F81" i="27" s="1"/>
  <c r="G81" i="27" s="1"/>
  <c r="H81" i="27" s="1"/>
  <c r="I81" i="27" s="1"/>
  <c r="J81" i="27" s="1"/>
  <c r="K81" i="27" s="1"/>
  <c r="L81" i="27" s="1"/>
  <c r="M81" i="27" s="1"/>
  <c r="N81" i="27" s="1"/>
  <c r="O81" i="27" s="1"/>
  <c r="D82" i="27" s="1"/>
  <c r="E82" i="27" s="1"/>
  <c r="F82" i="27" s="1"/>
  <c r="G82" i="27" s="1"/>
  <c r="H82" i="27" s="1"/>
  <c r="I82" i="27" s="1"/>
  <c r="J82" i="27" s="1"/>
  <c r="K82" i="27" s="1"/>
  <c r="L82" i="27" s="1"/>
  <c r="M82" i="27" s="1"/>
  <c r="N82" i="27" s="1"/>
  <c r="O82" i="27" s="1"/>
  <c r="D83" i="27" s="1"/>
  <c r="E83" i="27" s="1"/>
  <c r="F83" i="27" s="1"/>
  <c r="G83" i="27" s="1"/>
  <c r="H83" i="27" s="1"/>
  <c r="I83" i="27" s="1"/>
  <c r="J83" i="27" s="1"/>
  <c r="K83" i="27" s="1"/>
  <c r="L83" i="27" s="1"/>
  <c r="M83" i="27" s="1"/>
  <c r="N83" i="27" s="1"/>
  <c r="O83" i="27" s="1"/>
  <c r="D84" i="27" s="1"/>
  <c r="E84" i="27" s="1"/>
  <c r="F84" i="27" s="1"/>
  <c r="G84" i="27" s="1"/>
  <c r="H84" i="27" s="1"/>
  <c r="I84" i="27" s="1"/>
  <c r="J84" i="27" s="1"/>
  <c r="K84" i="27" s="1"/>
  <c r="L84" i="27" s="1"/>
  <c r="M84" i="27" s="1"/>
  <c r="N84" i="27" s="1"/>
  <c r="O84" i="27" s="1"/>
  <c r="D85" i="27" s="1"/>
  <c r="E85" i="27" s="1"/>
  <c r="F85" i="27" s="1"/>
  <c r="G85" i="27" s="1"/>
  <c r="H85" i="27" s="1"/>
  <c r="I85" i="27" s="1"/>
  <c r="J85" i="27" s="1"/>
  <c r="K85" i="27" s="1"/>
  <c r="L85" i="27" s="1"/>
  <c r="M85" i="27" s="1"/>
  <c r="N85" i="27" s="1"/>
  <c r="O85" i="27" s="1"/>
  <c r="D86" i="27" s="1"/>
  <c r="E86" i="27" s="1"/>
  <c r="F86" i="27" s="1"/>
  <c r="G86" i="27" s="1"/>
  <c r="H86" i="27" s="1"/>
  <c r="I86" i="27" s="1"/>
  <c r="J86" i="27" s="1"/>
  <c r="K86" i="27" s="1"/>
  <c r="L86" i="27" s="1"/>
  <c r="M86" i="27" s="1"/>
  <c r="N86" i="27" s="1"/>
  <c r="O86" i="27" s="1"/>
  <c r="D87" i="27" s="1"/>
  <c r="E87" i="27" s="1"/>
  <c r="F87" i="27" s="1"/>
  <c r="G87" i="27" s="1"/>
  <c r="H87" i="27" s="1"/>
  <c r="I87" i="27" s="1"/>
  <c r="J87" i="27" s="1"/>
  <c r="K87" i="27" s="1"/>
  <c r="L87" i="27" s="1"/>
  <c r="M87" i="27" s="1"/>
  <c r="N87" i="27" s="1"/>
  <c r="O87" i="27" s="1"/>
  <c r="D88" i="27" s="1"/>
  <c r="E88" i="27" s="1"/>
  <c r="F88" i="27" s="1"/>
  <c r="G88" i="27" s="1"/>
  <c r="H88" i="27" s="1"/>
  <c r="I88" i="27" s="1"/>
  <c r="J88" i="27" s="1"/>
  <c r="K88" i="27" s="1"/>
  <c r="L88" i="27" s="1"/>
  <c r="M88" i="27" s="1"/>
  <c r="N88" i="27" s="1"/>
  <c r="O88" i="27" s="1"/>
  <c r="D89" i="27" s="1"/>
  <c r="E89" i="27" s="1"/>
  <c r="F89" i="27" s="1"/>
  <c r="G89" i="27" s="1"/>
  <c r="H89" i="27" s="1"/>
  <c r="I89" i="27" s="1"/>
  <c r="J89" i="27" s="1"/>
  <c r="K89" i="27" s="1"/>
  <c r="L89" i="27" s="1"/>
  <c r="M89" i="27" s="1"/>
  <c r="N89" i="27" s="1"/>
  <c r="O89" i="27" s="1"/>
  <c r="D90" i="27" s="1"/>
  <c r="E90" i="27" s="1"/>
  <c r="F90" i="27" s="1"/>
  <c r="G90" i="27" s="1"/>
  <c r="H90" i="27" s="1"/>
  <c r="I90" i="27" s="1"/>
  <c r="J90" i="27" s="1"/>
  <c r="K90" i="27" s="1"/>
  <c r="L90" i="27" s="1"/>
  <c r="M90" i="27" s="1"/>
  <c r="N90" i="27" s="1"/>
  <c r="O90" i="27" s="1"/>
  <c r="D91" i="27" s="1"/>
  <c r="E91" i="27" s="1"/>
  <c r="F91" i="27" s="1"/>
  <c r="G91" i="27" s="1"/>
  <c r="H91" i="27" s="1"/>
  <c r="I91" i="27" s="1"/>
  <c r="J91" i="27" s="1"/>
  <c r="K91" i="27" s="1"/>
  <c r="L91" i="27" s="1"/>
  <c r="M91" i="27" s="1"/>
  <c r="N91" i="27" s="1"/>
  <c r="O91" i="27" s="1"/>
  <c r="D92" i="27" s="1"/>
  <c r="E92" i="27" s="1"/>
  <c r="F92" i="27" s="1"/>
  <c r="G92" i="27" s="1"/>
  <c r="H92" i="27" s="1"/>
  <c r="I92" i="27" s="1"/>
  <c r="J92" i="27" s="1"/>
  <c r="K92" i="27" s="1"/>
  <c r="L92" i="27" s="1"/>
  <c r="M92" i="27" s="1"/>
  <c r="N92" i="27" s="1"/>
  <c r="O92" i="27" s="1"/>
  <c r="D93" i="27" s="1"/>
  <c r="E93" i="27" s="1"/>
  <c r="F93" i="27" s="1"/>
  <c r="G93" i="27" s="1"/>
  <c r="H93" i="27" s="1"/>
  <c r="I93" i="27" s="1"/>
  <c r="J93" i="27" s="1"/>
  <c r="K93" i="27" s="1"/>
  <c r="L93" i="27" s="1"/>
  <c r="M93" i="27" s="1"/>
  <c r="N93" i="27" s="1"/>
  <c r="O93" i="27" s="1"/>
  <c r="D94" i="27" s="1"/>
  <c r="E94" i="27" s="1"/>
  <c r="F94" i="27" s="1"/>
  <c r="G94" i="27" s="1"/>
  <c r="H94" i="27" s="1"/>
  <c r="I94" i="27" s="1"/>
  <c r="J94" i="27" s="1"/>
  <c r="K94" i="27" s="1"/>
  <c r="L94" i="27" s="1"/>
  <c r="M94" i="27" s="1"/>
  <c r="N94" i="27" s="1"/>
  <c r="O94" i="27" s="1"/>
  <c r="D95" i="27" s="1"/>
  <c r="E95" i="27" s="1"/>
  <c r="F95" i="27" s="1"/>
  <c r="G95" i="27" s="1"/>
  <c r="H95" i="27" s="1"/>
  <c r="I95" i="27" s="1"/>
  <c r="J95" i="27" s="1"/>
  <c r="K95" i="27" s="1"/>
  <c r="L95" i="27" s="1"/>
  <c r="M95" i="27" s="1"/>
  <c r="N95" i="27" s="1"/>
  <c r="O95" i="27" s="1"/>
  <c r="D96" i="27" s="1"/>
  <c r="E96" i="27" s="1"/>
  <c r="F96" i="27" s="1"/>
  <c r="G96" i="27" s="1"/>
  <c r="H96" i="27" s="1"/>
  <c r="I96" i="27" s="1"/>
  <c r="J96" i="27" s="1"/>
  <c r="K96" i="27" s="1"/>
  <c r="L96" i="27" s="1"/>
  <c r="M96" i="27" s="1"/>
  <c r="N96" i="27" s="1"/>
  <c r="O96" i="27" s="1"/>
  <c r="D97" i="27" s="1"/>
  <c r="E97" i="27" s="1"/>
  <c r="F97" i="27" s="1"/>
  <c r="G97" i="27" s="1"/>
  <c r="H97" i="27" s="1"/>
  <c r="I97" i="27" s="1"/>
  <c r="J97" i="27" s="1"/>
  <c r="K97" i="27" s="1"/>
  <c r="L97" i="27" s="1"/>
  <c r="M97" i="27" s="1"/>
  <c r="N97" i="27" s="1"/>
  <c r="O97" i="27" s="1"/>
  <c r="D98" i="27" s="1"/>
  <c r="E98" i="27" s="1"/>
  <c r="F98" i="27" s="1"/>
  <c r="G98" i="27" s="1"/>
  <c r="H98" i="27" s="1"/>
  <c r="I98" i="27" s="1"/>
  <c r="J98" i="27" s="1"/>
  <c r="K98" i="27" s="1"/>
  <c r="L98" i="27" s="1"/>
  <c r="M98" i="27" s="1"/>
  <c r="N98" i="27" s="1"/>
  <c r="O98" i="27" s="1"/>
  <c r="D99" i="27" s="1"/>
  <c r="E99" i="27" s="1"/>
  <c r="F99" i="27" s="1"/>
  <c r="G99" i="27" s="1"/>
  <c r="H99" i="27" s="1"/>
  <c r="I99" i="27" s="1"/>
  <c r="J99" i="27" s="1"/>
  <c r="K99" i="27" s="1"/>
  <c r="L99" i="27" s="1"/>
  <c r="M99" i="27" s="1"/>
  <c r="N99" i="27" s="1"/>
  <c r="O99" i="27" s="1"/>
  <c r="D100" i="27" s="1"/>
  <c r="E100" i="27" s="1"/>
  <c r="F100" i="27" s="1"/>
  <c r="G100" i="27" s="1"/>
  <c r="H100" i="27" s="1"/>
  <c r="I100" i="27" s="1"/>
  <c r="J100" i="27" s="1"/>
  <c r="K100" i="27" s="1"/>
  <c r="L100" i="27" s="1"/>
  <c r="M100" i="27" s="1"/>
  <c r="N100" i="27" s="1"/>
  <c r="O100" i="27" s="1"/>
  <c r="D101" i="27" s="1"/>
  <c r="E101" i="27" s="1"/>
  <c r="F101" i="27" s="1"/>
  <c r="G101" i="27" s="1"/>
  <c r="H101" i="27" s="1"/>
  <c r="I101" i="27" s="1"/>
  <c r="J101" i="27" s="1"/>
  <c r="K101" i="27" s="1"/>
  <c r="L101" i="27" s="1"/>
  <c r="M101" i="27" s="1"/>
  <c r="N101" i="27" s="1"/>
  <c r="O101" i="27" s="1"/>
  <c r="E14" i="27"/>
  <c r="I31" i="22"/>
  <c r="I32" i="22" s="1"/>
  <c r="K13" i="22"/>
  <c r="I44" i="22"/>
  <c r="O44" i="22" s="1"/>
  <c r="J34" i="22"/>
  <c r="K16" i="22"/>
  <c r="E15" i="27" l="1"/>
  <c r="I33" i="22"/>
  <c r="I43" i="22"/>
  <c r="O43" i="22" s="1"/>
  <c r="K31" i="22"/>
  <c r="I45" i="22" s="1"/>
  <c r="O45" i="22" s="1"/>
  <c r="J38" i="22"/>
  <c r="J40" i="22" s="1"/>
  <c r="M34" i="22"/>
  <c r="O34" i="22" s="1"/>
  <c r="G7" i="28" s="1"/>
  <c r="M33" i="22"/>
  <c r="I38" i="22"/>
  <c r="I40" i="22" s="1"/>
  <c r="M64" i="22" s="1"/>
  <c r="I7" i="28" l="1"/>
  <c r="K35" i="22"/>
  <c r="O33" i="22"/>
  <c r="O47" i="22"/>
  <c r="O64" i="22"/>
  <c r="K38" i="22"/>
  <c r="K40" i="22" s="1"/>
  <c r="M65" i="22" s="1"/>
  <c r="M35" i="22"/>
  <c r="O35" i="22" s="1"/>
  <c r="G9" i="28" s="1"/>
  <c r="I9" i="28" s="1"/>
  <c r="J9" i="28" s="1"/>
  <c r="I47" i="22"/>
  <c r="M72" i="22"/>
  <c r="O72" i="22"/>
  <c r="G7" i="26" s="1"/>
  <c r="G11" i="28" l="1"/>
  <c r="J7" i="28"/>
  <c r="I11" i="28"/>
  <c r="J11" i="28" s="1"/>
  <c r="I7" i="26"/>
  <c r="O38" i="22"/>
  <c r="O73" i="22"/>
  <c r="M73" i="22"/>
  <c r="M75" i="22" s="1"/>
  <c r="M77" i="22" s="1"/>
  <c r="M38" i="22"/>
  <c r="M67" i="22"/>
  <c r="M70" i="22" s="1"/>
  <c r="O65" i="22"/>
  <c r="J7" i="26" l="1"/>
  <c r="O75" i="22"/>
  <c r="O77" i="22" s="1"/>
  <c r="G9" i="26"/>
  <c r="D19" i="28"/>
  <c r="E19" i="28" s="1"/>
  <c r="F19" i="28" s="1"/>
  <c r="G19" i="28" s="1"/>
  <c r="H19" i="28" s="1"/>
  <c r="I19" i="28" s="1"/>
  <c r="J19" i="28" s="1"/>
  <c r="K19" i="28" s="1"/>
  <c r="L19" i="28" s="1"/>
  <c r="M19" i="28" s="1"/>
  <c r="N19" i="28" s="1"/>
  <c r="O19" i="28" s="1"/>
  <c r="M57" i="22"/>
  <c r="M60" i="22" s="1"/>
  <c r="M40" i="22"/>
  <c r="M54" i="22" s="1"/>
  <c r="O57" i="22"/>
  <c r="O60" i="22" s="1"/>
  <c r="O40" i="22"/>
  <c r="O54" i="22" s="1"/>
  <c r="O67" i="22"/>
  <c r="O70" i="22" s="1"/>
  <c r="Q47" i="22"/>
  <c r="S47" i="22" s="1"/>
  <c r="I9" i="26" l="1"/>
  <c r="G11" i="26"/>
  <c r="D20" i="28"/>
  <c r="E20" i="28" s="1"/>
  <c r="Q19" i="28"/>
  <c r="G28" i="19"/>
  <c r="G35" i="19" s="1"/>
  <c r="H28" i="19"/>
  <c r="H35" i="19" s="1"/>
  <c r="I28" i="19"/>
  <c r="I35" i="19" s="1"/>
  <c r="J28" i="19"/>
  <c r="J35" i="19" s="1"/>
  <c r="K28" i="19"/>
  <c r="K35" i="19" s="1"/>
  <c r="L28" i="19"/>
  <c r="L35" i="19" s="1"/>
  <c r="M28" i="19"/>
  <c r="M35" i="19" s="1"/>
  <c r="N28" i="19"/>
  <c r="N35" i="19" s="1"/>
  <c r="O28" i="19"/>
  <c r="O35" i="19" s="1"/>
  <c r="P28" i="19"/>
  <c r="P35" i="19" s="1"/>
  <c r="Q28" i="19"/>
  <c r="Q35" i="19" s="1"/>
  <c r="R28" i="19"/>
  <c r="R35" i="19" s="1"/>
  <c r="S28" i="19"/>
  <c r="S35" i="19" s="1"/>
  <c r="T28" i="19"/>
  <c r="T35" i="19" s="1"/>
  <c r="U28" i="19"/>
  <c r="U35" i="19" s="1"/>
  <c r="V28" i="19"/>
  <c r="V35" i="19" s="1"/>
  <c r="W28" i="19"/>
  <c r="W35" i="19" s="1"/>
  <c r="X28" i="19"/>
  <c r="X35" i="19" s="1"/>
  <c r="Y28" i="19"/>
  <c r="Y35" i="19" s="1"/>
  <c r="Z28" i="19"/>
  <c r="Z35" i="19" s="1"/>
  <c r="AA28" i="19"/>
  <c r="AA35" i="19" s="1"/>
  <c r="AB28" i="19"/>
  <c r="F28" i="19"/>
  <c r="F35" i="19" s="1"/>
  <c r="F39" i="19" s="1"/>
  <c r="F20" i="28" l="1"/>
  <c r="G20" i="28" s="1"/>
  <c r="H20" i="28" s="1"/>
  <c r="I20" i="28" s="1"/>
  <c r="J20" i="28" s="1"/>
  <c r="K20" i="28" s="1"/>
  <c r="L20" i="28" s="1"/>
  <c r="M20" i="28" s="1"/>
  <c r="N20" i="28" s="1"/>
  <c r="O20" i="28" s="1"/>
  <c r="D21" i="28" s="1"/>
  <c r="E21" i="28" s="1"/>
  <c r="F21" i="28" s="1"/>
  <c r="G21" i="28" s="1"/>
  <c r="H21" i="28" s="1"/>
  <c r="I21" i="28" s="1"/>
  <c r="J21" i="28" s="1"/>
  <c r="K21" i="28" s="1"/>
  <c r="L21" i="28" s="1"/>
  <c r="M21" i="28" s="1"/>
  <c r="N21" i="28" s="1"/>
  <c r="O21" i="28" s="1"/>
  <c r="D22" i="28" s="1"/>
  <c r="E22" i="28" s="1"/>
  <c r="F22" i="28" s="1"/>
  <c r="G22" i="28" s="1"/>
  <c r="H22" i="28" s="1"/>
  <c r="I22" i="28" s="1"/>
  <c r="J22" i="28" s="1"/>
  <c r="K22" i="28" s="1"/>
  <c r="L22" i="28" s="1"/>
  <c r="M22" i="28" s="1"/>
  <c r="N22" i="28" s="1"/>
  <c r="O22" i="28" s="1"/>
  <c r="D23" i="28" s="1"/>
  <c r="E23" i="28" s="1"/>
  <c r="F23" i="28" s="1"/>
  <c r="G23" i="28" s="1"/>
  <c r="H23" i="28" s="1"/>
  <c r="I23" i="28" s="1"/>
  <c r="J23" i="28" s="1"/>
  <c r="K23" i="28" s="1"/>
  <c r="L23" i="28" s="1"/>
  <c r="M23" i="28" s="1"/>
  <c r="N23" i="28" s="1"/>
  <c r="O23" i="28" s="1"/>
  <c r="D24" i="28" s="1"/>
  <c r="E24" i="28" s="1"/>
  <c r="F24" i="28" s="1"/>
  <c r="G24" i="28" s="1"/>
  <c r="H24" i="28" s="1"/>
  <c r="I24" i="28" s="1"/>
  <c r="J24" i="28" s="1"/>
  <c r="K24" i="28" s="1"/>
  <c r="L24" i="28" s="1"/>
  <c r="M24" i="28" s="1"/>
  <c r="N24" i="28" s="1"/>
  <c r="O24" i="28" s="1"/>
  <c r="D25" i="28" s="1"/>
  <c r="E25" i="28" s="1"/>
  <c r="F25" i="28" s="1"/>
  <c r="G25" i="28" s="1"/>
  <c r="H25" i="28" s="1"/>
  <c r="I25" i="28" s="1"/>
  <c r="J25" i="28" s="1"/>
  <c r="K25" i="28" s="1"/>
  <c r="L25" i="28" s="1"/>
  <c r="M25" i="28" s="1"/>
  <c r="N25" i="28" s="1"/>
  <c r="O25" i="28" s="1"/>
  <c r="D26" i="28" s="1"/>
  <c r="E26" i="28" s="1"/>
  <c r="F26" i="28" s="1"/>
  <c r="G26" i="28" s="1"/>
  <c r="H26" i="28" s="1"/>
  <c r="I26" i="28" s="1"/>
  <c r="J26" i="28" s="1"/>
  <c r="K26" i="28" s="1"/>
  <c r="L26" i="28" s="1"/>
  <c r="M26" i="28" s="1"/>
  <c r="N26" i="28" s="1"/>
  <c r="O26" i="28" s="1"/>
  <c r="D27" i="28" s="1"/>
  <c r="E27" i="28" s="1"/>
  <c r="F27" i="28" s="1"/>
  <c r="G27" i="28" s="1"/>
  <c r="H27" i="28" s="1"/>
  <c r="I27" i="28" s="1"/>
  <c r="J27" i="28" s="1"/>
  <c r="K27" i="28" s="1"/>
  <c r="L27" i="28" s="1"/>
  <c r="M27" i="28" s="1"/>
  <c r="N27" i="28" s="1"/>
  <c r="O27" i="28" s="1"/>
  <c r="D28" i="28" s="1"/>
  <c r="E28" i="28" s="1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D29" i="28" s="1"/>
  <c r="E29" i="28" s="1"/>
  <c r="F29" i="28" s="1"/>
  <c r="G29" i="28" s="1"/>
  <c r="H29" i="28" s="1"/>
  <c r="I29" i="28" s="1"/>
  <c r="J29" i="28" s="1"/>
  <c r="K29" i="28" s="1"/>
  <c r="L29" i="28" s="1"/>
  <c r="M29" i="28" s="1"/>
  <c r="N29" i="28" s="1"/>
  <c r="O29" i="28" s="1"/>
  <c r="D30" i="28" s="1"/>
  <c r="E30" i="28" s="1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D31" i="28" s="1"/>
  <c r="E31" i="28" s="1"/>
  <c r="F31" i="28" s="1"/>
  <c r="G31" i="28" s="1"/>
  <c r="H31" i="28" s="1"/>
  <c r="I31" i="28" s="1"/>
  <c r="J31" i="28" s="1"/>
  <c r="K31" i="28" s="1"/>
  <c r="L31" i="28" s="1"/>
  <c r="M31" i="28" s="1"/>
  <c r="N31" i="28" s="1"/>
  <c r="O31" i="28" s="1"/>
  <c r="D32" i="28" s="1"/>
  <c r="E32" i="28" s="1"/>
  <c r="F32" i="28" s="1"/>
  <c r="G32" i="28" s="1"/>
  <c r="H32" i="28" s="1"/>
  <c r="I32" i="28" s="1"/>
  <c r="J32" i="28" s="1"/>
  <c r="K32" i="28" s="1"/>
  <c r="L32" i="28" s="1"/>
  <c r="M32" i="28" s="1"/>
  <c r="N32" i="28" s="1"/>
  <c r="O32" i="28" s="1"/>
  <c r="D33" i="28" s="1"/>
  <c r="E33" i="28" s="1"/>
  <c r="F33" i="28" s="1"/>
  <c r="G33" i="28" s="1"/>
  <c r="H33" i="28" s="1"/>
  <c r="I33" i="28" s="1"/>
  <c r="J33" i="28" s="1"/>
  <c r="K33" i="28" s="1"/>
  <c r="L33" i="28" s="1"/>
  <c r="M33" i="28" s="1"/>
  <c r="N33" i="28" s="1"/>
  <c r="O33" i="28" s="1"/>
  <c r="D34" i="28" s="1"/>
  <c r="E34" i="28" s="1"/>
  <c r="F34" i="28" s="1"/>
  <c r="G34" i="28" s="1"/>
  <c r="H34" i="28" s="1"/>
  <c r="I34" i="28" s="1"/>
  <c r="J34" i="28" s="1"/>
  <c r="K34" i="28" s="1"/>
  <c r="L34" i="28" s="1"/>
  <c r="M34" i="28" s="1"/>
  <c r="N34" i="28" s="1"/>
  <c r="O34" i="28" s="1"/>
  <c r="D35" i="28" s="1"/>
  <c r="E35" i="28" s="1"/>
  <c r="F35" i="28" s="1"/>
  <c r="G35" i="28" s="1"/>
  <c r="H35" i="28" s="1"/>
  <c r="I35" i="28" s="1"/>
  <c r="J35" i="28" s="1"/>
  <c r="K35" i="28" s="1"/>
  <c r="L35" i="28" s="1"/>
  <c r="M35" i="28" s="1"/>
  <c r="N35" i="28" s="1"/>
  <c r="O35" i="28" s="1"/>
  <c r="D36" i="28" s="1"/>
  <c r="E36" i="28" s="1"/>
  <c r="F36" i="28" s="1"/>
  <c r="G36" i="28" s="1"/>
  <c r="H36" i="28" s="1"/>
  <c r="I36" i="28" s="1"/>
  <c r="J36" i="28" s="1"/>
  <c r="K36" i="28" s="1"/>
  <c r="L36" i="28" s="1"/>
  <c r="M36" i="28" s="1"/>
  <c r="N36" i="28" s="1"/>
  <c r="O36" i="28" s="1"/>
  <c r="D37" i="28" s="1"/>
  <c r="E37" i="28" s="1"/>
  <c r="F37" i="28" s="1"/>
  <c r="G37" i="28" s="1"/>
  <c r="H37" i="28" s="1"/>
  <c r="I37" i="28" s="1"/>
  <c r="J37" i="28" s="1"/>
  <c r="K37" i="28" s="1"/>
  <c r="L37" i="28" s="1"/>
  <c r="M37" i="28" s="1"/>
  <c r="N37" i="28" s="1"/>
  <c r="O37" i="28" s="1"/>
  <c r="D38" i="28" s="1"/>
  <c r="E38" i="28" s="1"/>
  <c r="F38" i="28" s="1"/>
  <c r="G38" i="28" s="1"/>
  <c r="H38" i="28" s="1"/>
  <c r="I38" i="28" s="1"/>
  <c r="J38" i="28" s="1"/>
  <c r="K38" i="28" s="1"/>
  <c r="L38" i="28" s="1"/>
  <c r="M38" i="28" s="1"/>
  <c r="N38" i="28" s="1"/>
  <c r="O38" i="28" s="1"/>
  <c r="D39" i="28" s="1"/>
  <c r="E39" i="28" s="1"/>
  <c r="F39" i="28" s="1"/>
  <c r="G39" i="28" s="1"/>
  <c r="H39" i="28" s="1"/>
  <c r="I39" i="28" s="1"/>
  <c r="J39" i="28" s="1"/>
  <c r="K39" i="28" s="1"/>
  <c r="L39" i="28" s="1"/>
  <c r="M39" i="28" s="1"/>
  <c r="N39" i="28" s="1"/>
  <c r="O39" i="28" s="1"/>
  <c r="D40" i="28" s="1"/>
  <c r="E40" i="28" s="1"/>
  <c r="F40" i="28" s="1"/>
  <c r="G40" i="28" s="1"/>
  <c r="H40" i="28" s="1"/>
  <c r="I40" i="28" s="1"/>
  <c r="J40" i="28" s="1"/>
  <c r="K40" i="28" s="1"/>
  <c r="L40" i="28" s="1"/>
  <c r="M40" i="28" s="1"/>
  <c r="N40" i="28" s="1"/>
  <c r="O40" i="28" s="1"/>
  <c r="D41" i="28" s="1"/>
  <c r="E41" i="28" s="1"/>
  <c r="F41" i="28" s="1"/>
  <c r="G41" i="28" s="1"/>
  <c r="H41" i="28" s="1"/>
  <c r="I41" i="28" s="1"/>
  <c r="J41" i="28" s="1"/>
  <c r="K41" i="28" s="1"/>
  <c r="L41" i="28" s="1"/>
  <c r="M41" i="28" s="1"/>
  <c r="N41" i="28" s="1"/>
  <c r="O41" i="28" s="1"/>
  <c r="D42" i="28" s="1"/>
  <c r="E42" i="28" s="1"/>
  <c r="F42" i="28" s="1"/>
  <c r="G42" i="28" s="1"/>
  <c r="H42" i="28" s="1"/>
  <c r="I42" i="28" s="1"/>
  <c r="J42" i="28" s="1"/>
  <c r="K42" i="28" s="1"/>
  <c r="L42" i="28" s="1"/>
  <c r="M42" i="28" s="1"/>
  <c r="N42" i="28" s="1"/>
  <c r="O42" i="28" s="1"/>
  <c r="D43" i="28" s="1"/>
  <c r="E43" i="28" s="1"/>
  <c r="F43" i="28" s="1"/>
  <c r="G43" i="28" s="1"/>
  <c r="H43" i="28" s="1"/>
  <c r="I43" i="28" s="1"/>
  <c r="J43" i="28" s="1"/>
  <c r="K43" i="28" s="1"/>
  <c r="L43" i="28" s="1"/>
  <c r="M43" i="28" s="1"/>
  <c r="N43" i="28" s="1"/>
  <c r="O43" i="28" s="1"/>
  <c r="D44" i="28" s="1"/>
  <c r="E44" i="28" s="1"/>
  <c r="F44" i="28" s="1"/>
  <c r="G44" i="28" s="1"/>
  <c r="H44" i="28" s="1"/>
  <c r="I44" i="28" s="1"/>
  <c r="J44" i="28" s="1"/>
  <c r="K44" i="28" s="1"/>
  <c r="L44" i="28" s="1"/>
  <c r="M44" i="28" s="1"/>
  <c r="N44" i="28" s="1"/>
  <c r="O44" i="28" s="1"/>
  <c r="D45" i="28" s="1"/>
  <c r="E45" i="28" s="1"/>
  <c r="F45" i="28" s="1"/>
  <c r="G45" i="28" s="1"/>
  <c r="H45" i="28" s="1"/>
  <c r="I45" i="28" s="1"/>
  <c r="J45" i="28" s="1"/>
  <c r="K45" i="28" s="1"/>
  <c r="L45" i="28" s="1"/>
  <c r="M45" i="28" s="1"/>
  <c r="N45" i="28" s="1"/>
  <c r="O45" i="28" s="1"/>
  <c r="D46" i="28" s="1"/>
  <c r="E46" i="28" s="1"/>
  <c r="F46" i="28" s="1"/>
  <c r="G46" i="28" s="1"/>
  <c r="H46" i="28" s="1"/>
  <c r="I46" i="28" s="1"/>
  <c r="J46" i="28" s="1"/>
  <c r="K46" i="28" s="1"/>
  <c r="L46" i="28" s="1"/>
  <c r="M46" i="28" s="1"/>
  <c r="N46" i="28" s="1"/>
  <c r="O46" i="28" s="1"/>
  <c r="D47" i="28" s="1"/>
  <c r="E47" i="28" s="1"/>
  <c r="F47" i="28" s="1"/>
  <c r="G47" i="28" s="1"/>
  <c r="H47" i="28" s="1"/>
  <c r="I47" i="28" s="1"/>
  <c r="J47" i="28" s="1"/>
  <c r="K47" i="28" s="1"/>
  <c r="L47" i="28" s="1"/>
  <c r="M47" i="28" s="1"/>
  <c r="N47" i="28" s="1"/>
  <c r="O47" i="28" s="1"/>
  <c r="D48" i="28" s="1"/>
  <c r="E48" i="28" s="1"/>
  <c r="F48" i="28" s="1"/>
  <c r="G48" i="28" s="1"/>
  <c r="H48" i="28" s="1"/>
  <c r="I48" i="28" s="1"/>
  <c r="J48" i="28" s="1"/>
  <c r="K48" i="28" s="1"/>
  <c r="L48" i="28" s="1"/>
  <c r="M48" i="28" s="1"/>
  <c r="N48" i="28" s="1"/>
  <c r="O48" i="28" s="1"/>
  <c r="D49" i="28" s="1"/>
  <c r="E49" i="28" s="1"/>
  <c r="F49" i="28" s="1"/>
  <c r="G49" i="28" s="1"/>
  <c r="H49" i="28" s="1"/>
  <c r="I49" i="28" s="1"/>
  <c r="J49" i="28" s="1"/>
  <c r="K49" i="28" s="1"/>
  <c r="L49" i="28" s="1"/>
  <c r="M49" i="28" s="1"/>
  <c r="N49" i="28" s="1"/>
  <c r="O49" i="28" s="1"/>
  <c r="D50" i="28" s="1"/>
  <c r="E50" i="28" s="1"/>
  <c r="F50" i="28" s="1"/>
  <c r="G50" i="28" s="1"/>
  <c r="H50" i="28" s="1"/>
  <c r="I50" i="28" s="1"/>
  <c r="J50" i="28" s="1"/>
  <c r="K50" i="28" s="1"/>
  <c r="L50" i="28" s="1"/>
  <c r="M50" i="28" s="1"/>
  <c r="N50" i="28" s="1"/>
  <c r="O50" i="28" s="1"/>
  <c r="D51" i="28" s="1"/>
  <c r="E51" i="28" s="1"/>
  <c r="F51" i="28" s="1"/>
  <c r="G51" i="28" s="1"/>
  <c r="H51" i="28" s="1"/>
  <c r="I51" i="28" s="1"/>
  <c r="J51" i="28" s="1"/>
  <c r="K51" i="28" s="1"/>
  <c r="L51" i="28" s="1"/>
  <c r="M51" i="28" s="1"/>
  <c r="N51" i="28" s="1"/>
  <c r="O51" i="28" s="1"/>
  <c r="D52" i="28" s="1"/>
  <c r="E52" i="28" s="1"/>
  <c r="F52" i="28" s="1"/>
  <c r="G52" i="28" s="1"/>
  <c r="H52" i="28" s="1"/>
  <c r="I52" i="28" s="1"/>
  <c r="J52" i="28" s="1"/>
  <c r="K52" i="28" s="1"/>
  <c r="L52" i="28" s="1"/>
  <c r="M52" i="28" s="1"/>
  <c r="N52" i="28" s="1"/>
  <c r="O52" i="28" s="1"/>
  <c r="D53" i="28" s="1"/>
  <c r="E53" i="28" s="1"/>
  <c r="F53" i="28" s="1"/>
  <c r="G53" i="28" s="1"/>
  <c r="H53" i="28" s="1"/>
  <c r="I53" i="28" s="1"/>
  <c r="J53" i="28" s="1"/>
  <c r="K53" i="28" s="1"/>
  <c r="L53" i="28" s="1"/>
  <c r="M53" i="28" s="1"/>
  <c r="N53" i="28" s="1"/>
  <c r="O53" i="28" s="1"/>
  <c r="D54" i="28" s="1"/>
  <c r="E54" i="28" s="1"/>
  <c r="F54" i="28" s="1"/>
  <c r="G54" i="28" s="1"/>
  <c r="H54" i="28" s="1"/>
  <c r="I54" i="28" s="1"/>
  <c r="J54" i="28" s="1"/>
  <c r="K54" i="28" s="1"/>
  <c r="L54" i="28" s="1"/>
  <c r="M54" i="28" s="1"/>
  <c r="N54" i="28" s="1"/>
  <c r="O54" i="28" s="1"/>
  <c r="D55" i="28" s="1"/>
  <c r="E55" i="28" s="1"/>
  <c r="F55" i="28" s="1"/>
  <c r="G55" i="28" s="1"/>
  <c r="H55" i="28" s="1"/>
  <c r="I55" i="28" s="1"/>
  <c r="J55" i="28" s="1"/>
  <c r="K55" i="28" s="1"/>
  <c r="L55" i="28" s="1"/>
  <c r="M55" i="28" s="1"/>
  <c r="N55" i="28" s="1"/>
  <c r="O55" i="28" s="1"/>
  <c r="D56" i="28" s="1"/>
  <c r="E56" i="28" s="1"/>
  <c r="F56" i="28" s="1"/>
  <c r="G56" i="28" s="1"/>
  <c r="H56" i="28" s="1"/>
  <c r="I56" i="28" s="1"/>
  <c r="J56" i="28" s="1"/>
  <c r="K56" i="28" s="1"/>
  <c r="L56" i="28" s="1"/>
  <c r="M56" i="28" s="1"/>
  <c r="N56" i="28" s="1"/>
  <c r="O56" i="28" s="1"/>
  <c r="D57" i="28" s="1"/>
  <c r="E57" i="28" s="1"/>
  <c r="F57" i="28" s="1"/>
  <c r="G57" i="28" s="1"/>
  <c r="H57" i="28" s="1"/>
  <c r="I57" i="28" s="1"/>
  <c r="J57" i="28" s="1"/>
  <c r="K57" i="28" s="1"/>
  <c r="L57" i="28" s="1"/>
  <c r="M57" i="28" s="1"/>
  <c r="N57" i="28" s="1"/>
  <c r="O57" i="28" s="1"/>
  <c r="D58" i="28" s="1"/>
  <c r="E58" i="28" s="1"/>
  <c r="F58" i="28" s="1"/>
  <c r="G58" i="28" s="1"/>
  <c r="H58" i="28" s="1"/>
  <c r="I58" i="28" s="1"/>
  <c r="J58" i="28" s="1"/>
  <c r="K58" i="28" s="1"/>
  <c r="L58" i="28" s="1"/>
  <c r="M58" i="28" s="1"/>
  <c r="N58" i="28" s="1"/>
  <c r="O58" i="28" s="1"/>
  <c r="E14" i="28"/>
  <c r="AB35" i="19"/>
  <c r="AB39" i="19" s="1"/>
  <c r="P31" i="22"/>
  <c r="J9" i="26"/>
  <c r="E19" i="26" s="1"/>
  <c r="F19" i="26" s="1"/>
  <c r="G19" i="26" s="1"/>
  <c r="H19" i="26" s="1"/>
  <c r="I19" i="26" s="1"/>
  <c r="J19" i="26" s="1"/>
  <c r="K19" i="26" s="1"/>
  <c r="L19" i="26" s="1"/>
  <c r="M19" i="26" s="1"/>
  <c r="N19" i="26" s="1"/>
  <c r="O19" i="26" s="1"/>
  <c r="I11" i="26"/>
  <c r="J11" i="26" s="1"/>
  <c r="M22" i="18"/>
  <c r="G22" i="18"/>
  <c r="M16" i="18"/>
  <c r="D20" i="26" l="1"/>
  <c r="E20" i="26" s="1"/>
  <c r="Q19" i="26"/>
  <c r="D59" i="28"/>
  <c r="E59" i="28" s="1"/>
  <c r="F59" i="28" s="1"/>
  <c r="G59" i="28" s="1"/>
  <c r="H59" i="28" s="1"/>
  <c r="I59" i="28" s="1"/>
  <c r="J59" i="28" s="1"/>
  <c r="K59" i="28" s="1"/>
  <c r="L59" i="28" s="1"/>
  <c r="M59" i="28" s="1"/>
  <c r="N59" i="28" s="1"/>
  <c r="O59" i="28" s="1"/>
  <c r="D60" i="28" s="1"/>
  <c r="E60" i="28" s="1"/>
  <c r="F60" i="28" s="1"/>
  <c r="G60" i="28" s="1"/>
  <c r="H60" i="28" s="1"/>
  <c r="I60" i="28" s="1"/>
  <c r="J60" i="28" s="1"/>
  <c r="K60" i="28" s="1"/>
  <c r="L60" i="28" s="1"/>
  <c r="M60" i="28" s="1"/>
  <c r="N60" i="28" s="1"/>
  <c r="O60" i="28" s="1"/>
  <c r="D61" i="28" s="1"/>
  <c r="E61" i="28" s="1"/>
  <c r="F61" i="28" s="1"/>
  <c r="G61" i="28" s="1"/>
  <c r="H61" i="28" s="1"/>
  <c r="I61" i="28" s="1"/>
  <c r="J61" i="28" s="1"/>
  <c r="K61" i="28" s="1"/>
  <c r="L61" i="28" s="1"/>
  <c r="M61" i="28" s="1"/>
  <c r="N61" i="28" s="1"/>
  <c r="O61" i="28" s="1"/>
  <c r="D62" i="28" s="1"/>
  <c r="E62" i="28" s="1"/>
  <c r="F62" i="28" s="1"/>
  <c r="G62" i="28" s="1"/>
  <c r="H62" i="28" s="1"/>
  <c r="I62" i="28" s="1"/>
  <c r="J62" i="28" s="1"/>
  <c r="K62" i="28" s="1"/>
  <c r="L62" i="28" s="1"/>
  <c r="M62" i="28" s="1"/>
  <c r="N62" i="28" s="1"/>
  <c r="O62" i="28" s="1"/>
  <c r="D63" i="28" s="1"/>
  <c r="E63" i="28" s="1"/>
  <c r="F63" i="28" s="1"/>
  <c r="G63" i="28" s="1"/>
  <c r="H63" i="28" s="1"/>
  <c r="I63" i="28" s="1"/>
  <c r="J63" i="28" s="1"/>
  <c r="K63" i="28" s="1"/>
  <c r="L63" i="28" s="1"/>
  <c r="M63" i="28" s="1"/>
  <c r="N63" i="28" s="1"/>
  <c r="O63" i="28" s="1"/>
  <c r="D64" i="28" s="1"/>
  <c r="E64" i="28" s="1"/>
  <c r="F64" i="28" s="1"/>
  <c r="G64" i="28" s="1"/>
  <c r="H64" i="28" s="1"/>
  <c r="I64" i="28" s="1"/>
  <c r="J64" i="28" s="1"/>
  <c r="K64" i="28" s="1"/>
  <c r="L64" i="28" s="1"/>
  <c r="M64" i="28" s="1"/>
  <c r="N64" i="28" s="1"/>
  <c r="O64" i="28" s="1"/>
  <c r="D65" i="28" s="1"/>
  <c r="E65" i="28" s="1"/>
  <c r="F65" i="28" s="1"/>
  <c r="G65" i="28" s="1"/>
  <c r="H65" i="28" s="1"/>
  <c r="I65" i="28" s="1"/>
  <c r="J65" i="28" s="1"/>
  <c r="K65" i="28" s="1"/>
  <c r="L65" i="28" s="1"/>
  <c r="M65" i="28" s="1"/>
  <c r="N65" i="28" s="1"/>
  <c r="O65" i="28" s="1"/>
  <c r="D66" i="28" s="1"/>
  <c r="E66" i="28" s="1"/>
  <c r="F66" i="28" s="1"/>
  <c r="G66" i="28" s="1"/>
  <c r="H66" i="28" s="1"/>
  <c r="I66" i="28" s="1"/>
  <c r="J66" i="28" s="1"/>
  <c r="K66" i="28" s="1"/>
  <c r="L66" i="28" s="1"/>
  <c r="M66" i="28" s="1"/>
  <c r="N66" i="28" s="1"/>
  <c r="O66" i="28" s="1"/>
  <c r="D67" i="28" s="1"/>
  <c r="E67" i="28" s="1"/>
  <c r="F67" i="28" s="1"/>
  <c r="G67" i="28" s="1"/>
  <c r="H67" i="28" s="1"/>
  <c r="I67" i="28" s="1"/>
  <c r="J67" i="28" s="1"/>
  <c r="K67" i="28" s="1"/>
  <c r="L67" i="28" s="1"/>
  <c r="M67" i="28" s="1"/>
  <c r="N67" i="28" s="1"/>
  <c r="O67" i="28" s="1"/>
  <c r="D68" i="28" s="1"/>
  <c r="E68" i="28" s="1"/>
  <c r="F68" i="28" s="1"/>
  <c r="G68" i="28" s="1"/>
  <c r="H68" i="28" s="1"/>
  <c r="I68" i="28" s="1"/>
  <c r="J68" i="28" s="1"/>
  <c r="K68" i="28" s="1"/>
  <c r="L68" i="28" s="1"/>
  <c r="M68" i="28" s="1"/>
  <c r="N68" i="28" s="1"/>
  <c r="O68" i="28" s="1"/>
  <c r="D69" i="28" s="1"/>
  <c r="E69" i="28" s="1"/>
  <c r="F69" i="28" s="1"/>
  <c r="G69" i="28" s="1"/>
  <c r="H69" i="28" s="1"/>
  <c r="I69" i="28" s="1"/>
  <c r="J69" i="28" s="1"/>
  <c r="K69" i="28" s="1"/>
  <c r="L69" i="28" s="1"/>
  <c r="M69" i="28" s="1"/>
  <c r="N69" i="28" s="1"/>
  <c r="O69" i="28" s="1"/>
  <c r="D70" i="28" s="1"/>
  <c r="E70" i="28" s="1"/>
  <c r="F70" i="28" s="1"/>
  <c r="G70" i="28" s="1"/>
  <c r="H70" i="28" s="1"/>
  <c r="I70" i="28" s="1"/>
  <c r="J70" i="28" s="1"/>
  <c r="K70" i="28" s="1"/>
  <c r="L70" i="28" s="1"/>
  <c r="M70" i="28" s="1"/>
  <c r="N70" i="28" s="1"/>
  <c r="O70" i="28" s="1"/>
  <c r="D71" i="28" s="1"/>
  <c r="E71" i="28" s="1"/>
  <c r="F71" i="28" s="1"/>
  <c r="G71" i="28" s="1"/>
  <c r="H71" i="28" s="1"/>
  <c r="I71" i="28" s="1"/>
  <c r="J71" i="28" s="1"/>
  <c r="K71" i="28" s="1"/>
  <c r="L71" i="28" s="1"/>
  <c r="M71" i="28" s="1"/>
  <c r="N71" i="28" s="1"/>
  <c r="O71" i="28" s="1"/>
  <c r="D72" i="28" s="1"/>
  <c r="E72" i="28" s="1"/>
  <c r="F72" i="28" s="1"/>
  <c r="G72" i="28" s="1"/>
  <c r="H72" i="28" s="1"/>
  <c r="I72" i="28" s="1"/>
  <c r="J72" i="28" s="1"/>
  <c r="K72" i="28" s="1"/>
  <c r="L72" i="28" s="1"/>
  <c r="M72" i="28" s="1"/>
  <c r="N72" i="28" s="1"/>
  <c r="O72" i="28" s="1"/>
  <c r="D73" i="28" s="1"/>
  <c r="E73" i="28" s="1"/>
  <c r="F73" i="28" s="1"/>
  <c r="G73" i="28" s="1"/>
  <c r="H73" i="28" s="1"/>
  <c r="I73" i="28" s="1"/>
  <c r="J73" i="28" s="1"/>
  <c r="K73" i="28" s="1"/>
  <c r="L73" i="28" s="1"/>
  <c r="M73" i="28" s="1"/>
  <c r="N73" i="28" s="1"/>
  <c r="O73" i="28" s="1"/>
  <c r="D74" i="28" s="1"/>
  <c r="E74" i="28" s="1"/>
  <c r="F74" i="28" s="1"/>
  <c r="G74" i="28" s="1"/>
  <c r="H74" i="28" s="1"/>
  <c r="I74" i="28" s="1"/>
  <c r="J74" i="28" s="1"/>
  <c r="K74" i="28" s="1"/>
  <c r="L74" i="28" s="1"/>
  <c r="M74" i="28" s="1"/>
  <c r="N74" i="28" s="1"/>
  <c r="O74" i="28" s="1"/>
  <c r="D75" i="28" s="1"/>
  <c r="E75" i="28" s="1"/>
  <c r="F75" i="28" s="1"/>
  <c r="G75" i="28" s="1"/>
  <c r="H75" i="28" s="1"/>
  <c r="I75" i="28" s="1"/>
  <c r="J75" i="28" s="1"/>
  <c r="K75" i="28" s="1"/>
  <c r="L75" i="28" s="1"/>
  <c r="M75" i="28" s="1"/>
  <c r="N75" i="28" s="1"/>
  <c r="O75" i="28" s="1"/>
  <c r="D76" i="28" s="1"/>
  <c r="E76" i="28" s="1"/>
  <c r="F76" i="28" s="1"/>
  <c r="G76" i="28" s="1"/>
  <c r="H76" i="28" s="1"/>
  <c r="I76" i="28" s="1"/>
  <c r="J76" i="28" s="1"/>
  <c r="K76" i="28" s="1"/>
  <c r="L76" i="28" s="1"/>
  <c r="M76" i="28" s="1"/>
  <c r="N76" i="28" s="1"/>
  <c r="O76" i="28" s="1"/>
  <c r="D77" i="28" s="1"/>
  <c r="E77" i="28" s="1"/>
  <c r="F77" i="28" s="1"/>
  <c r="G77" i="28" s="1"/>
  <c r="H77" i="28" s="1"/>
  <c r="I77" i="28" s="1"/>
  <c r="J77" i="28" s="1"/>
  <c r="K77" i="28" s="1"/>
  <c r="L77" i="28" s="1"/>
  <c r="M77" i="28" s="1"/>
  <c r="N77" i="28" s="1"/>
  <c r="O77" i="28" s="1"/>
  <c r="D78" i="28" s="1"/>
  <c r="E78" i="28" s="1"/>
  <c r="F78" i="28" s="1"/>
  <c r="G78" i="28" s="1"/>
  <c r="H78" i="28" s="1"/>
  <c r="I78" i="28" s="1"/>
  <c r="J78" i="28" s="1"/>
  <c r="K78" i="28" s="1"/>
  <c r="L78" i="28" s="1"/>
  <c r="M78" i="28" s="1"/>
  <c r="N78" i="28" s="1"/>
  <c r="O78" i="28" s="1"/>
  <c r="D79" i="28" s="1"/>
  <c r="E79" i="28" s="1"/>
  <c r="F79" i="28" s="1"/>
  <c r="G79" i="28" s="1"/>
  <c r="H79" i="28" s="1"/>
  <c r="I79" i="28" s="1"/>
  <c r="J79" i="28" s="1"/>
  <c r="K79" i="28" s="1"/>
  <c r="L79" i="28" s="1"/>
  <c r="M79" i="28" s="1"/>
  <c r="N79" i="28" s="1"/>
  <c r="O79" i="28" s="1"/>
  <c r="D80" i="28" s="1"/>
  <c r="E80" i="28" s="1"/>
  <c r="F80" i="28" s="1"/>
  <c r="G80" i="28" s="1"/>
  <c r="H80" i="28" s="1"/>
  <c r="I80" i="28" s="1"/>
  <c r="J80" i="28" s="1"/>
  <c r="K80" i="28" s="1"/>
  <c r="L80" i="28" s="1"/>
  <c r="M80" i="28" s="1"/>
  <c r="N80" i="28" s="1"/>
  <c r="O80" i="28" s="1"/>
  <c r="D81" i="28" s="1"/>
  <c r="E81" i="28" s="1"/>
  <c r="F81" i="28" s="1"/>
  <c r="G81" i="28" s="1"/>
  <c r="H81" i="28" s="1"/>
  <c r="I81" i="28" s="1"/>
  <c r="J81" i="28" s="1"/>
  <c r="K81" i="28" s="1"/>
  <c r="L81" i="28" s="1"/>
  <c r="M81" i="28" s="1"/>
  <c r="N81" i="28" s="1"/>
  <c r="O81" i="28" s="1"/>
  <c r="D82" i="28" s="1"/>
  <c r="E82" i="28" s="1"/>
  <c r="F82" i="28" s="1"/>
  <c r="G82" i="28" s="1"/>
  <c r="H82" i="28" s="1"/>
  <c r="I82" i="28" s="1"/>
  <c r="J82" i="28" s="1"/>
  <c r="K82" i="28" s="1"/>
  <c r="L82" i="28" s="1"/>
  <c r="M82" i="28" s="1"/>
  <c r="N82" i="28" s="1"/>
  <c r="O82" i="28" s="1"/>
  <c r="D83" i="28" s="1"/>
  <c r="E83" i="28" s="1"/>
  <c r="F83" i="28" s="1"/>
  <c r="G83" i="28" s="1"/>
  <c r="H83" i="28" s="1"/>
  <c r="I83" i="28" s="1"/>
  <c r="J83" i="28" s="1"/>
  <c r="K83" i="28" s="1"/>
  <c r="L83" i="28" s="1"/>
  <c r="M83" i="28" s="1"/>
  <c r="N83" i="28" s="1"/>
  <c r="O83" i="28" s="1"/>
  <c r="D84" i="28" s="1"/>
  <c r="E84" i="28" s="1"/>
  <c r="F84" i="28" s="1"/>
  <c r="G84" i="28" s="1"/>
  <c r="H84" i="28" s="1"/>
  <c r="I84" i="28" s="1"/>
  <c r="J84" i="28" s="1"/>
  <c r="K84" i="28" s="1"/>
  <c r="L84" i="28" s="1"/>
  <c r="M84" i="28" s="1"/>
  <c r="N84" i="28" s="1"/>
  <c r="O84" i="28" s="1"/>
  <c r="D85" i="28" s="1"/>
  <c r="E85" i="28" s="1"/>
  <c r="F85" i="28" s="1"/>
  <c r="G85" i="28" s="1"/>
  <c r="H85" i="28" s="1"/>
  <c r="I85" i="28" s="1"/>
  <c r="J85" i="28" s="1"/>
  <c r="K85" i="28" s="1"/>
  <c r="L85" i="28" s="1"/>
  <c r="M85" i="28" s="1"/>
  <c r="N85" i="28" s="1"/>
  <c r="O85" i="28" s="1"/>
  <c r="D86" i="28" s="1"/>
  <c r="E86" i="28" s="1"/>
  <c r="F86" i="28" s="1"/>
  <c r="G86" i="28" s="1"/>
  <c r="H86" i="28" s="1"/>
  <c r="I86" i="28" s="1"/>
  <c r="J86" i="28" s="1"/>
  <c r="K86" i="28" s="1"/>
  <c r="L86" i="28" s="1"/>
  <c r="M86" i="28" s="1"/>
  <c r="N86" i="28" s="1"/>
  <c r="O86" i="28" s="1"/>
  <c r="D87" i="28" s="1"/>
  <c r="E87" i="28" s="1"/>
  <c r="F87" i="28" s="1"/>
  <c r="G87" i="28" s="1"/>
  <c r="H87" i="28" s="1"/>
  <c r="I87" i="28" s="1"/>
  <c r="J87" i="28" s="1"/>
  <c r="K87" i="28" s="1"/>
  <c r="L87" i="28" s="1"/>
  <c r="M87" i="28" s="1"/>
  <c r="N87" i="28" s="1"/>
  <c r="O87" i="28" s="1"/>
  <c r="D88" i="28" s="1"/>
  <c r="E88" i="28" s="1"/>
  <c r="F88" i="28" s="1"/>
  <c r="G88" i="28" s="1"/>
  <c r="H88" i="28" s="1"/>
  <c r="I88" i="28" s="1"/>
  <c r="J88" i="28" s="1"/>
  <c r="K88" i="28" s="1"/>
  <c r="L88" i="28" s="1"/>
  <c r="M88" i="28" s="1"/>
  <c r="N88" i="28" s="1"/>
  <c r="O88" i="28" s="1"/>
  <c r="D89" i="28" s="1"/>
  <c r="E89" i="28" s="1"/>
  <c r="F89" i="28" s="1"/>
  <c r="G89" i="28" s="1"/>
  <c r="H89" i="28" s="1"/>
  <c r="I89" i="28" s="1"/>
  <c r="J89" i="28" s="1"/>
  <c r="K89" i="28" s="1"/>
  <c r="L89" i="28" s="1"/>
  <c r="M89" i="28" s="1"/>
  <c r="N89" i="28" s="1"/>
  <c r="O89" i="28" s="1"/>
  <c r="D90" i="28" s="1"/>
  <c r="E90" i="28" s="1"/>
  <c r="F90" i="28" s="1"/>
  <c r="G90" i="28" s="1"/>
  <c r="H90" i="28" s="1"/>
  <c r="I90" i="28" s="1"/>
  <c r="J90" i="28" s="1"/>
  <c r="K90" i="28" s="1"/>
  <c r="L90" i="28" s="1"/>
  <c r="M90" i="28" s="1"/>
  <c r="N90" i="28" s="1"/>
  <c r="O90" i="28" s="1"/>
  <c r="D91" i="28" s="1"/>
  <c r="E91" i="28" s="1"/>
  <c r="F91" i="28" s="1"/>
  <c r="G91" i="28" s="1"/>
  <c r="H91" i="28" s="1"/>
  <c r="I91" i="28" s="1"/>
  <c r="J91" i="28" s="1"/>
  <c r="K91" i="28" s="1"/>
  <c r="L91" i="28" s="1"/>
  <c r="M91" i="28" s="1"/>
  <c r="N91" i="28" s="1"/>
  <c r="O91" i="28" s="1"/>
  <c r="D92" i="28" s="1"/>
  <c r="E92" i="28" s="1"/>
  <c r="F92" i="28" s="1"/>
  <c r="G92" i="28" s="1"/>
  <c r="H92" i="28" s="1"/>
  <c r="I92" i="28" s="1"/>
  <c r="J92" i="28" s="1"/>
  <c r="K92" i="28" s="1"/>
  <c r="L92" i="28" s="1"/>
  <c r="M92" i="28" s="1"/>
  <c r="N92" i="28" s="1"/>
  <c r="O92" i="28" s="1"/>
  <c r="D93" i="28" s="1"/>
  <c r="E93" i="28" s="1"/>
  <c r="F93" i="28" s="1"/>
  <c r="G93" i="28" s="1"/>
  <c r="H93" i="28" s="1"/>
  <c r="I93" i="28" s="1"/>
  <c r="J93" i="28" s="1"/>
  <c r="K93" i="28" s="1"/>
  <c r="L93" i="28" s="1"/>
  <c r="M93" i="28" s="1"/>
  <c r="N93" i="28" s="1"/>
  <c r="O93" i="28" s="1"/>
  <c r="D94" i="28" s="1"/>
  <c r="E94" i="28" s="1"/>
  <c r="F94" i="28" s="1"/>
  <c r="G94" i="28" s="1"/>
  <c r="H94" i="28" s="1"/>
  <c r="I94" i="28" s="1"/>
  <c r="J94" i="28" s="1"/>
  <c r="K94" i="28" s="1"/>
  <c r="L94" i="28" s="1"/>
  <c r="M94" i="28" s="1"/>
  <c r="N94" i="28" s="1"/>
  <c r="O94" i="28" s="1"/>
  <c r="D95" i="28" s="1"/>
  <c r="E95" i="28" s="1"/>
  <c r="F95" i="28" s="1"/>
  <c r="G95" i="28" s="1"/>
  <c r="H95" i="28" s="1"/>
  <c r="I95" i="28" s="1"/>
  <c r="J95" i="28" s="1"/>
  <c r="K95" i="28" s="1"/>
  <c r="L95" i="28" s="1"/>
  <c r="M95" i="28" s="1"/>
  <c r="N95" i="28" s="1"/>
  <c r="O95" i="28" s="1"/>
  <c r="D96" i="28" s="1"/>
  <c r="E96" i="28" s="1"/>
  <c r="F96" i="28" s="1"/>
  <c r="G96" i="28" s="1"/>
  <c r="H96" i="28" s="1"/>
  <c r="I96" i="28" s="1"/>
  <c r="J96" i="28" s="1"/>
  <c r="K96" i="28" s="1"/>
  <c r="L96" i="28" s="1"/>
  <c r="M96" i="28" s="1"/>
  <c r="N96" i="28" s="1"/>
  <c r="O96" i="28" s="1"/>
  <c r="D97" i="28" s="1"/>
  <c r="E97" i="28" s="1"/>
  <c r="F97" i="28" s="1"/>
  <c r="G97" i="28" s="1"/>
  <c r="H97" i="28" s="1"/>
  <c r="I97" i="28" s="1"/>
  <c r="J97" i="28" s="1"/>
  <c r="K97" i="28" s="1"/>
  <c r="L97" i="28" s="1"/>
  <c r="M97" i="28" s="1"/>
  <c r="N97" i="28" s="1"/>
  <c r="O97" i="28" s="1"/>
  <c r="D98" i="28" s="1"/>
  <c r="E98" i="28" s="1"/>
  <c r="F98" i="28" s="1"/>
  <c r="G98" i="28" s="1"/>
  <c r="H98" i="28" s="1"/>
  <c r="I98" i="28" s="1"/>
  <c r="J98" i="28" s="1"/>
  <c r="K98" i="28" s="1"/>
  <c r="L98" i="28" s="1"/>
  <c r="M98" i="28" s="1"/>
  <c r="N98" i="28" s="1"/>
  <c r="O98" i="28" s="1"/>
  <c r="D99" i="28" s="1"/>
  <c r="E99" i="28" s="1"/>
  <c r="F99" i="28" s="1"/>
  <c r="G99" i="28" s="1"/>
  <c r="H99" i="28" s="1"/>
  <c r="I99" i="28" s="1"/>
  <c r="J99" i="28" s="1"/>
  <c r="K99" i="28" s="1"/>
  <c r="L99" i="28" s="1"/>
  <c r="M99" i="28" s="1"/>
  <c r="N99" i="28" s="1"/>
  <c r="O99" i="28" s="1"/>
  <c r="D100" i="28" s="1"/>
  <c r="E100" i="28" s="1"/>
  <c r="F100" i="28" s="1"/>
  <c r="G100" i="28" s="1"/>
  <c r="H100" i="28" s="1"/>
  <c r="I100" i="28" s="1"/>
  <c r="J100" i="28" s="1"/>
  <c r="K100" i="28" s="1"/>
  <c r="L100" i="28" s="1"/>
  <c r="M100" i="28" s="1"/>
  <c r="N100" i="28" s="1"/>
  <c r="O100" i="28" s="1"/>
  <c r="D101" i="28" s="1"/>
  <c r="E101" i="28" s="1"/>
  <c r="F101" i="28" s="1"/>
  <c r="G101" i="28" s="1"/>
  <c r="H101" i="28" s="1"/>
  <c r="I101" i="28" s="1"/>
  <c r="J101" i="28" s="1"/>
  <c r="K101" i="28" s="1"/>
  <c r="L101" i="28" s="1"/>
  <c r="M101" i="28" s="1"/>
  <c r="N101" i="28" s="1"/>
  <c r="O101" i="28" s="1"/>
  <c r="E15" i="28"/>
  <c r="T18" i="7"/>
  <c r="F18" i="18" s="1"/>
  <c r="F20" i="26" l="1"/>
  <c r="G20" i="26" s="1"/>
  <c r="H20" i="26" s="1"/>
  <c r="I20" i="26" s="1"/>
  <c r="J20" i="26" s="1"/>
  <c r="K20" i="26" s="1"/>
  <c r="L20" i="26" s="1"/>
  <c r="M20" i="26" s="1"/>
  <c r="N20" i="26" s="1"/>
  <c r="O20" i="26" s="1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D22" i="26" s="1"/>
  <c r="E22" i="26" s="1"/>
  <c r="F22" i="26" s="1"/>
  <c r="G22" i="26" s="1"/>
  <c r="H22" i="26" s="1"/>
  <c r="I22" i="26" s="1"/>
  <c r="J22" i="26" s="1"/>
  <c r="K22" i="26" s="1"/>
  <c r="L22" i="26" s="1"/>
  <c r="M22" i="26" s="1"/>
  <c r="N22" i="26" s="1"/>
  <c r="O22" i="26" s="1"/>
  <c r="D23" i="26" s="1"/>
  <c r="E23" i="26" s="1"/>
  <c r="F23" i="26" s="1"/>
  <c r="G23" i="26" s="1"/>
  <c r="H23" i="26" s="1"/>
  <c r="I23" i="26" s="1"/>
  <c r="J23" i="26" s="1"/>
  <c r="K23" i="26" s="1"/>
  <c r="L23" i="26" s="1"/>
  <c r="M23" i="26" s="1"/>
  <c r="N23" i="26" s="1"/>
  <c r="O23" i="26" s="1"/>
  <c r="D24" i="26" s="1"/>
  <c r="E24" i="26" s="1"/>
  <c r="F24" i="26" s="1"/>
  <c r="G24" i="26" s="1"/>
  <c r="H24" i="26" s="1"/>
  <c r="I24" i="26" s="1"/>
  <c r="J24" i="26" s="1"/>
  <c r="K24" i="26" s="1"/>
  <c r="L24" i="26" s="1"/>
  <c r="M24" i="26" s="1"/>
  <c r="N24" i="26" s="1"/>
  <c r="O24" i="26" s="1"/>
  <c r="D25" i="26" s="1"/>
  <c r="E25" i="26" s="1"/>
  <c r="F25" i="26" s="1"/>
  <c r="G25" i="26" s="1"/>
  <c r="H25" i="26" s="1"/>
  <c r="I25" i="26" s="1"/>
  <c r="J25" i="26" s="1"/>
  <c r="K25" i="26" s="1"/>
  <c r="L25" i="26" s="1"/>
  <c r="M25" i="26" s="1"/>
  <c r="N25" i="26" s="1"/>
  <c r="O25" i="26" s="1"/>
  <c r="D26" i="26" s="1"/>
  <c r="E26" i="26" s="1"/>
  <c r="F26" i="26" s="1"/>
  <c r="G26" i="26" s="1"/>
  <c r="H26" i="26" s="1"/>
  <c r="I26" i="26" s="1"/>
  <c r="J26" i="26" s="1"/>
  <c r="K26" i="26" s="1"/>
  <c r="L26" i="26" s="1"/>
  <c r="M26" i="26" s="1"/>
  <c r="N26" i="26" s="1"/>
  <c r="O26" i="26" s="1"/>
  <c r="D27" i="26" s="1"/>
  <c r="E27" i="26" s="1"/>
  <c r="F27" i="26" s="1"/>
  <c r="G27" i="26" s="1"/>
  <c r="H27" i="26" s="1"/>
  <c r="I27" i="26" s="1"/>
  <c r="J27" i="26" s="1"/>
  <c r="K27" i="26" s="1"/>
  <c r="L27" i="26" s="1"/>
  <c r="M27" i="26" s="1"/>
  <c r="N27" i="26" s="1"/>
  <c r="O27" i="26" s="1"/>
  <c r="D28" i="26" s="1"/>
  <c r="E28" i="26" s="1"/>
  <c r="F28" i="26" s="1"/>
  <c r="G28" i="26" s="1"/>
  <c r="H28" i="26" s="1"/>
  <c r="I28" i="26" s="1"/>
  <c r="J28" i="26" s="1"/>
  <c r="K28" i="26" s="1"/>
  <c r="L28" i="26" s="1"/>
  <c r="M28" i="26" s="1"/>
  <c r="N28" i="26" s="1"/>
  <c r="O28" i="26" s="1"/>
  <c r="E14" i="26"/>
  <c r="E15" i="26" l="1"/>
  <c r="Q22" i="7"/>
  <c r="F25" i="18"/>
  <c r="F23" i="18"/>
  <c r="F14" i="18"/>
  <c r="N55" i="18"/>
  <c r="L55" i="18"/>
  <c r="N49" i="18"/>
  <c r="L49" i="18"/>
  <c r="M35" i="18"/>
  <c r="L33" i="18"/>
  <c r="N33" i="18" s="1"/>
  <c r="K28" i="18"/>
  <c r="M26" i="18"/>
  <c r="J26" i="18"/>
  <c r="L26" i="18" s="1"/>
  <c r="N26" i="18" s="1"/>
  <c r="A25" i="18"/>
  <c r="M24" i="18"/>
  <c r="J24" i="18"/>
  <c r="L24" i="18" s="1"/>
  <c r="A24" i="18"/>
  <c r="A23" i="18"/>
  <c r="I22" i="18"/>
  <c r="J22" i="18" s="1"/>
  <c r="A22" i="18"/>
  <c r="M21" i="18"/>
  <c r="J21" i="18"/>
  <c r="L21" i="18" s="1"/>
  <c r="A21" i="18"/>
  <c r="M20" i="18"/>
  <c r="J20" i="18"/>
  <c r="L20" i="18" s="1"/>
  <c r="N20" i="18" s="1"/>
  <c r="A20" i="18"/>
  <c r="M19" i="18"/>
  <c r="H19" i="18"/>
  <c r="J19" i="18" s="1"/>
  <c r="A19" i="18"/>
  <c r="M18" i="18"/>
  <c r="A18" i="18"/>
  <c r="M17" i="18"/>
  <c r="H17" i="18"/>
  <c r="J17" i="18" s="1"/>
  <c r="A17" i="18"/>
  <c r="A16" i="18"/>
  <c r="M15" i="18"/>
  <c r="J15" i="18"/>
  <c r="L15" i="18" s="1"/>
  <c r="A15" i="18"/>
  <c r="M14" i="18"/>
  <c r="A14" i="18"/>
  <c r="M13" i="18"/>
  <c r="J13" i="18"/>
  <c r="L13" i="18" s="1"/>
  <c r="N13" i="18" s="1"/>
  <c r="A13" i="18"/>
  <c r="M12" i="18"/>
  <c r="J12" i="18"/>
  <c r="L12" i="18" s="1"/>
  <c r="A12" i="18"/>
  <c r="M11" i="18"/>
  <c r="J11" i="18"/>
  <c r="L11" i="18" s="1"/>
  <c r="A11" i="18"/>
  <c r="M10" i="18"/>
  <c r="I10" i="18"/>
  <c r="A10" i="18"/>
  <c r="L8" i="18"/>
  <c r="G8" i="18"/>
  <c r="F8" i="18"/>
  <c r="M80" i="7"/>
  <c r="H80" i="7"/>
  <c r="Q35" i="7"/>
  <c r="T35" i="7"/>
  <c r="U35" i="7"/>
  <c r="V35" i="7"/>
  <c r="T28" i="7"/>
  <c r="U28" i="7"/>
  <c r="U37" i="7" l="1"/>
  <c r="N11" i="18"/>
  <c r="N12" i="18"/>
  <c r="N15" i="18"/>
  <c r="N21" i="18"/>
  <c r="Q16" i="7"/>
  <c r="F22" i="18"/>
  <c r="T37" i="7"/>
  <c r="N24" i="18"/>
  <c r="M28" i="18"/>
  <c r="M37" i="18" s="1"/>
  <c r="J10" i="18"/>
  <c r="L17" i="18"/>
  <c r="N17" i="18" s="1"/>
  <c r="L19" i="18"/>
  <c r="N19" i="18" s="1"/>
  <c r="L22" i="18"/>
  <c r="N22" i="18" s="1"/>
  <c r="W55" i="7"/>
  <c r="L55" i="7"/>
  <c r="W49" i="7"/>
  <c r="L49" i="7"/>
  <c r="V11" i="7"/>
  <c r="V12" i="7"/>
  <c r="V13" i="7"/>
  <c r="V14" i="7"/>
  <c r="V15" i="7"/>
  <c r="V16" i="7"/>
  <c r="V17" i="7"/>
  <c r="V18" i="7"/>
  <c r="V19" i="7"/>
  <c r="V20" i="7"/>
  <c r="V21" i="7"/>
  <c r="V22" i="7"/>
  <c r="V24" i="7"/>
  <c r="V26" i="7"/>
  <c r="V10" i="7"/>
  <c r="N32" i="7"/>
  <c r="N14" i="7"/>
  <c r="I113" i="16"/>
  <c r="I111" i="16"/>
  <c r="I110" i="16"/>
  <c r="I106" i="16"/>
  <c r="I102" i="16"/>
  <c r="H102" i="16"/>
  <c r="H103" i="16"/>
  <c r="H116" i="16" s="1"/>
  <c r="H104" i="16"/>
  <c r="I104" i="16" s="1"/>
  <c r="H105" i="16"/>
  <c r="I105" i="16" s="1"/>
  <c r="H106" i="16"/>
  <c r="H107" i="16"/>
  <c r="I107" i="16" s="1"/>
  <c r="H108" i="16"/>
  <c r="I108" i="16" s="1"/>
  <c r="H109" i="16"/>
  <c r="I109" i="16" s="1"/>
  <c r="H110" i="16"/>
  <c r="H112" i="16"/>
  <c r="I112" i="16" s="1"/>
  <c r="H114" i="16"/>
  <c r="I114" i="16" s="1"/>
  <c r="F326" i="17"/>
  <c r="E326" i="17"/>
  <c r="D326" i="17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I103" i="16" l="1"/>
  <c r="I116" i="16" s="1"/>
  <c r="Q28" i="7"/>
  <c r="Q37" i="7" s="1"/>
  <c r="F16" i="18"/>
  <c r="F28" i="18" s="1"/>
  <c r="L10" i="18"/>
  <c r="N67" i="7"/>
  <c r="N35" i="7"/>
  <c r="N28" i="7"/>
  <c r="N42" i="7" s="1"/>
  <c r="O91" i="14"/>
  <c r="N91" i="14"/>
  <c r="M91" i="14"/>
  <c r="L91" i="14"/>
  <c r="K91" i="14"/>
  <c r="C91" i="14"/>
  <c r="B91" i="14"/>
  <c r="J88" i="14"/>
  <c r="J83" i="14"/>
  <c r="O81" i="14"/>
  <c r="E81" i="14"/>
  <c r="C81" i="14"/>
  <c r="B81" i="14"/>
  <c r="A81" i="14"/>
  <c r="O80" i="14"/>
  <c r="C80" i="14"/>
  <c r="B80" i="14"/>
  <c r="A80" i="14"/>
  <c r="O79" i="14"/>
  <c r="C79" i="14"/>
  <c r="B79" i="14"/>
  <c r="A79" i="14"/>
  <c r="O78" i="14"/>
  <c r="E78" i="14"/>
  <c r="C78" i="14"/>
  <c r="B78" i="14"/>
  <c r="A78" i="14"/>
  <c r="O77" i="14"/>
  <c r="C77" i="14"/>
  <c r="B77" i="14"/>
  <c r="A77" i="14"/>
  <c r="O76" i="14"/>
  <c r="C76" i="14"/>
  <c r="B76" i="14"/>
  <c r="A76" i="14"/>
  <c r="O75" i="14"/>
  <c r="E75" i="14"/>
  <c r="C75" i="14"/>
  <c r="B75" i="14"/>
  <c r="A75" i="14"/>
  <c r="O74" i="14"/>
  <c r="C74" i="14"/>
  <c r="B74" i="14"/>
  <c r="A74" i="14"/>
  <c r="O73" i="14"/>
  <c r="C73" i="14"/>
  <c r="B73" i="14"/>
  <c r="A73" i="14"/>
  <c r="O72" i="14"/>
  <c r="E72" i="14"/>
  <c r="C72" i="14"/>
  <c r="B72" i="14"/>
  <c r="A72" i="14"/>
  <c r="O71" i="14"/>
  <c r="C71" i="14"/>
  <c r="B71" i="14"/>
  <c r="A71" i="14"/>
  <c r="O70" i="14"/>
  <c r="C70" i="14"/>
  <c r="B70" i="14"/>
  <c r="A70" i="14"/>
  <c r="O69" i="14"/>
  <c r="E69" i="14"/>
  <c r="C69" i="14"/>
  <c r="B69" i="14"/>
  <c r="A69" i="14"/>
  <c r="O68" i="14"/>
  <c r="C68" i="14"/>
  <c r="B68" i="14"/>
  <c r="A68" i="14"/>
  <c r="O67" i="14"/>
  <c r="C67" i="14"/>
  <c r="B67" i="14"/>
  <c r="A67" i="14"/>
  <c r="O66" i="14"/>
  <c r="E66" i="14"/>
  <c r="C66" i="14"/>
  <c r="B66" i="14"/>
  <c r="A66" i="14"/>
  <c r="O65" i="14"/>
  <c r="C65" i="14"/>
  <c r="B65" i="14"/>
  <c r="A65" i="14"/>
  <c r="O64" i="14"/>
  <c r="C64" i="14"/>
  <c r="B64" i="14"/>
  <c r="A64" i="14"/>
  <c r="O63" i="14"/>
  <c r="E63" i="14"/>
  <c r="C63" i="14"/>
  <c r="B63" i="14"/>
  <c r="A63" i="14"/>
  <c r="O62" i="14"/>
  <c r="C62" i="14"/>
  <c r="B62" i="14"/>
  <c r="A62" i="14"/>
  <c r="O61" i="14"/>
  <c r="C61" i="14"/>
  <c r="B61" i="14"/>
  <c r="A61" i="14"/>
  <c r="O60" i="14"/>
  <c r="E60" i="14"/>
  <c r="C60" i="14"/>
  <c r="B60" i="14"/>
  <c r="A60" i="14"/>
  <c r="O59" i="14"/>
  <c r="C59" i="14"/>
  <c r="B59" i="14"/>
  <c r="A59" i="14"/>
  <c r="O58" i="14"/>
  <c r="C58" i="14"/>
  <c r="B58" i="14"/>
  <c r="A58" i="14"/>
  <c r="O57" i="14"/>
  <c r="E57" i="14"/>
  <c r="C57" i="14"/>
  <c r="B57" i="14"/>
  <c r="A57" i="14"/>
  <c r="O56" i="14"/>
  <c r="C56" i="14"/>
  <c r="B56" i="14"/>
  <c r="A56" i="14"/>
  <c r="O55" i="14"/>
  <c r="C55" i="14"/>
  <c r="B55" i="14"/>
  <c r="A55" i="14"/>
  <c r="O54" i="14"/>
  <c r="C54" i="14"/>
  <c r="B54" i="14"/>
  <c r="A54" i="14"/>
  <c r="O53" i="14"/>
  <c r="C53" i="14"/>
  <c r="B53" i="14"/>
  <c r="A53" i="14"/>
  <c r="O52" i="14"/>
  <c r="C52" i="14"/>
  <c r="B52" i="14"/>
  <c r="A52" i="14"/>
  <c r="O51" i="14"/>
  <c r="C51" i="14"/>
  <c r="B51" i="14"/>
  <c r="A51" i="14"/>
  <c r="O50" i="14"/>
  <c r="C50" i="14"/>
  <c r="B50" i="14"/>
  <c r="A50" i="14"/>
  <c r="O49" i="14"/>
  <c r="C49" i="14"/>
  <c r="B49" i="14"/>
  <c r="A49" i="14"/>
  <c r="O48" i="14"/>
  <c r="C48" i="14"/>
  <c r="B48" i="14"/>
  <c r="A48" i="14"/>
  <c r="O47" i="14"/>
  <c r="C47" i="14"/>
  <c r="B47" i="14"/>
  <c r="A47" i="14"/>
  <c r="O46" i="14"/>
  <c r="C46" i="14"/>
  <c r="B46" i="14"/>
  <c r="A46" i="14"/>
  <c r="O45" i="14"/>
  <c r="C45" i="14"/>
  <c r="B45" i="14"/>
  <c r="A45" i="14"/>
  <c r="O44" i="14"/>
  <c r="E44" i="14"/>
  <c r="C44" i="14"/>
  <c r="B44" i="14"/>
  <c r="A44" i="14"/>
  <c r="O43" i="14"/>
  <c r="C43" i="14"/>
  <c r="B43" i="14"/>
  <c r="A43" i="14"/>
  <c r="O42" i="14"/>
  <c r="C42" i="14"/>
  <c r="B42" i="14"/>
  <c r="A42" i="14"/>
  <c r="O41" i="14"/>
  <c r="E41" i="14"/>
  <c r="C41" i="14"/>
  <c r="B41" i="14"/>
  <c r="A41" i="14"/>
  <c r="O40" i="14"/>
  <c r="C40" i="14"/>
  <c r="B40" i="14"/>
  <c r="A40" i="14"/>
  <c r="O39" i="14"/>
  <c r="C39" i="14"/>
  <c r="B39" i="14"/>
  <c r="A39" i="14"/>
  <c r="O38" i="14"/>
  <c r="E38" i="14"/>
  <c r="C38" i="14"/>
  <c r="B38" i="14"/>
  <c r="A38" i="14"/>
  <c r="O37" i="14"/>
  <c r="C37" i="14"/>
  <c r="B37" i="14"/>
  <c r="A37" i="14"/>
  <c r="O36" i="14"/>
  <c r="C36" i="14"/>
  <c r="B36" i="14"/>
  <c r="A36" i="14"/>
  <c r="O35" i="14"/>
  <c r="E35" i="14"/>
  <c r="C35" i="14"/>
  <c r="B35" i="14"/>
  <c r="A35" i="14"/>
  <c r="O34" i="14"/>
  <c r="C34" i="14"/>
  <c r="B34" i="14"/>
  <c r="A34" i="14"/>
  <c r="O33" i="14"/>
  <c r="C33" i="14"/>
  <c r="B33" i="14"/>
  <c r="A33" i="14"/>
  <c r="O32" i="14"/>
  <c r="E32" i="14"/>
  <c r="C32" i="14"/>
  <c r="B32" i="14"/>
  <c r="A32" i="14"/>
  <c r="O31" i="14"/>
  <c r="C31" i="14"/>
  <c r="B31" i="14"/>
  <c r="A31" i="14"/>
  <c r="O30" i="14"/>
  <c r="C30" i="14"/>
  <c r="B30" i="14"/>
  <c r="A30" i="14"/>
  <c r="O29" i="14"/>
  <c r="E29" i="14"/>
  <c r="C29" i="14"/>
  <c r="B29" i="14"/>
  <c r="A29" i="14"/>
  <c r="O28" i="14"/>
  <c r="C28" i="14"/>
  <c r="B28" i="14"/>
  <c r="A28" i="14"/>
  <c r="O27" i="14"/>
  <c r="C27" i="14"/>
  <c r="B27" i="14"/>
  <c r="A27" i="14"/>
  <c r="O26" i="14"/>
  <c r="E26" i="14"/>
  <c r="C26" i="14"/>
  <c r="B26" i="14"/>
  <c r="A26" i="14"/>
  <c r="O25" i="14"/>
  <c r="C25" i="14"/>
  <c r="B25" i="14"/>
  <c r="A25" i="14"/>
  <c r="O24" i="14"/>
  <c r="C24" i="14"/>
  <c r="B24" i="14"/>
  <c r="A24" i="14"/>
  <c r="O23" i="14"/>
  <c r="E23" i="14"/>
  <c r="C23" i="14"/>
  <c r="B23" i="14"/>
  <c r="A23" i="14"/>
  <c r="O22" i="14"/>
  <c r="C22" i="14"/>
  <c r="B22" i="14"/>
  <c r="A22" i="14"/>
  <c r="O21" i="14"/>
  <c r="C21" i="14"/>
  <c r="B21" i="14"/>
  <c r="A21" i="14"/>
  <c r="O20" i="14"/>
  <c r="E20" i="14"/>
  <c r="C20" i="14"/>
  <c r="B20" i="14"/>
  <c r="A20" i="14"/>
  <c r="O19" i="14"/>
  <c r="C19" i="14"/>
  <c r="B19" i="14"/>
  <c r="A19" i="14"/>
  <c r="O18" i="14"/>
  <c r="C18" i="14"/>
  <c r="B18" i="14"/>
  <c r="A18" i="14"/>
  <c r="O17" i="14"/>
  <c r="C17" i="14"/>
  <c r="B17" i="14"/>
  <c r="A17" i="14"/>
  <c r="O16" i="14"/>
  <c r="C16" i="14"/>
  <c r="B16" i="14"/>
  <c r="A16" i="14"/>
  <c r="O15" i="14"/>
  <c r="C15" i="14"/>
  <c r="B15" i="14"/>
  <c r="A15" i="14"/>
  <c r="O14" i="14"/>
  <c r="C14" i="14"/>
  <c r="B14" i="14"/>
  <c r="A14" i="14"/>
  <c r="O13" i="14"/>
  <c r="C13" i="14"/>
  <c r="B13" i="14"/>
  <c r="A13" i="14"/>
  <c r="O12" i="14"/>
  <c r="C12" i="14"/>
  <c r="B12" i="14"/>
  <c r="A12" i="14"/>
  <c r="O11" i="14"/>
  <c r="C11" i="14"/>
  <c r="B11" i="14"/>
  <c r="A11" i="14"/>
  <c r="O10" i="14"/>
  <c r="C10" i="14"/>
  <c r="B10" i="14"/>
  <c r="A10" i="14"/>
  <c r="O9" i="14"/>
  <c r="C9" i="14"/>
  <c r="B9" i="14"/>
  <c r="A9" i="14"/>
  <c r="O8" i="14"/>
  <c r="C8" i="14"/>
  <c r="B8" i="14"/>
  <c r="A8" i="14"/>
  <c r="F5" i="14"/>
  <c r="M3" i="14"/>
  <c r="K3" i="14"/>
  <c r="J3" i="14"/>
  <c r="J1" i="14"/>
  <c r="O55" i="13"/>
  <c r="N55" i="13"/>
  <c r="M55" i="13"/>
  <c r="L55" i="13"/>
  <c r="K55" i="13"/>
  <c r="C55" i="13"/>
  <c r="B55" i="13"/>
  <c r="B44" i="13"/>
  <c r="C44" i="13"/>
  <c r="B42" i="13"/>
  <c r="C42" i="13"/>
  <c r="C41" i="13"/>
  <c r="B41" i="13"/>
  <c r="B40" i="13"/>
  <c r="C40" i="13"/>
  <c r="B38" i="13"/>
  <c r="C38" i="13"/>
  <c r="C37" i="13"/>
  <c r="B37" i="13"/>
  <c r="B36" i="13"/>
  <c r="C36" i="13"/>
  <c r="B34" i="13"/>
  <c r="C33" i="13"/>
  <c r="B33" i="13"/>
  <c r="B32" i="13"/>
  <c r="C32" i="13"/>
  <c r="B30" i="13"/>
  <c r="C30" i="13"/>
  <c r="C29" i="13"/>
  <c r="B29" i="13"/>
  <c r="P28" i="13"/>
  <c r="P29" i="13" s="1"/>
  <c r="P30" i="13" s="1"/>
  <c r="N28" i="13"/>
  <c r="M28" i="13"/>
  <c r="M29" i="13" s="1"/>
  <c r="M30" i="13" s="1"/>
  <c r="M31" i="13" s="1"/>
  <c r="M32" i="13" s="1"/>
  <c r="M33" i="13" s="1"/>
  <c r="B28" i="13"/>
  <c r="F28" i="13"/>
  <c r="O28" i="13" s="1"/>
  <c r="C28" i="13"/>
  <c r="F27" i="13"/>
  <c r="O27" i="13" s="1"/>
  <c r="A27" i="13"/>
  <c r="B25" i="13"/>
  <c r="C25" i="13"/>
  <c r="B23" i="13"/>
  <c r="C23" i="13"/>
  <c r="C22" i="13"/>
  <c r="B22" i="13"/>
  <c r="B21" i="13"/>
  <c r="C21" i="13"/>
  <c r="B19" i="13"/>
  <c r="C19" i="13"/>
  <c r="C18" i="13"/>
  <c r="B18" i="13"/>
  <c r="B17" i="13"/>
  <c r="C17" i="13"/>
  <c r="C16" i="13"/>
  <c r="B15" i="13"/>
  <c r="C15" i="13"/>
  <c r="C14" i="13"/>
  <c r="B14" i="13"/>
  <c r="B13" i="13"/>
  <c r="C13" i="13"/>
  <c r="C12" i="13"/>
  <c r="B12" i="13"/>
  <c r="B11" i="13"/>
  <c r="F10" i="13"/>
  <c r="O10" i="13" s="1"/>
  <c r="C10" i="13"/>
  <c r="B10" i="13"/>
  <c r="P9" i="13"/>
  <c r="P10" i="13" s="1"/>
  <c r="P11" i="13" s="1"/>
  <c r="N9" i="13"/>
  <c r="M9" i="13"/>
  <c r="M10" i="13" s="1"/>
  <c r="M11" i="13" s="1"/>
  <c r="M12" i="13" s="1"/>
  <c r="C9" i="13"/>
  <c r="F8" i="13"/>
  <c r="O8" i="13" s="1"/>
  <c r="B8" i="13"/>
  <c r="A8" i="13"/>
  <c r="F5" i="13"/>
  <c r="M3" i="13"/>
  <c r="K3" i="13"/>
  <c r="A9" i="13" l="1"/>
  <c r="F9" i="13"/>
  <c r="O9" i="13" s="1"/>
  <c r="F29" i="13"/>
  <c r="O29" i="13" s="1"/>
  <c r="N10" i="18"/>
  <c r="N37" i="7"/>
  <c r="C47" i="13"/>
  <c r="B83" i="14"/>
  <c r="O83" i="14"/>
  <c r="C83" i="14"/>
  <c r="A28" i="13"/>
  <c r="F11" i="13"/>
  <c r="O11" i="13" s="1"/>
  <c r="P12" i="13"/>
  <c r="M13" i="13"/>
  <c r="N10" i="13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C20" i="13"/>
  <c r="B20" i="13"/>
  <c r="F30" i="13"/>
  <c r="O30" i="13" s="1"/>
  <c r="P31" i="13"/>
  <c r="C39" i="13"/>
  <c r="B39" i="13"/>
  <c r="C24" i="13"/>
  <c r="B24" i="13"/>
  <c r="J45" i="13"/>
  <c r="C27" i="13"/>
  <c r="B27" i="13"/>
  <c r="J26" i="13"/>
  <c r="C8" i="13"/>
  <c r="B9" i="13"/>
  <c r="J47" i="13"/>
  <c r="A11" i="13"/>
  <c r="C31" i="13"/>
  <c r="B31" i="13"/>
  <c r="J3" i="13"/>
  <c r="C11" i="13"/>
  <c r="B16" i="13"/>
  <c r="N29" i="13"/>
  <c r="N30" i="13" s="1"/>
  <c r="M34" i="13"/>
  <c r="C34" i="13"/>
  <c r="C35" i="13"/>
  <c r="B35" i="13"/>
  <c r="C43" i="13"/>
  <c r="B43" i="13"/>
  <c r="A29" i="13"/>
  <c r="A37" i="12"/>
  <c r="A36" i="12"/>
  <c r="A20" i="12"/>
  <c r="A19" i="12"/>
  <c r="M32" i="7"/>
  <c r="M25" i="7"/>
  <c r="M23" i="7"/>
  <c r="M14" i="7"/>
  <c r="J25" i="7"/>
  <c r="L25" i="7" s="1"/>
  <c r="A25" i="7"/>
  <c r="L23" i="7"/>
  <c r="Y23" i="7" s="1"/>
  <c r="Z23" i="7" s="1"/>
  <c r="A23" i="7"/>
  <c r="Y23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8" i="11"/>
  <c r="I22" i="7"/>
  <c r="P22" i="7" s="1"/>
  <c r="I10" i="7"/>
  <c r="H19" i="7"/>
  <c r="H18" i="7"/>
  <c r="R18" i="7" s="1"/>
  <c r="H17" i="7"/>
  <c r="H16" i="7"/>
  <c r="S18" i="7" l="1"/>
  <c r="R28" i="7"/>
  <c r="O16" i="7"/>
  <c r="P28" i="7"/>
  <c r="W25" i="7"/>
  <c r="Y25" i="7"/>
  <c r="Z25" i="7" s="1"/>
  <c r="W23" i="7"/>
  <c r="C85" i="14"/>
  <c r="M35" i="13"/>
  <c r="B26" i="13"/>
  <c r="C26" i="13"/>
  <c r="F31" i="13"/>
  <c r="O31" i="13" s="1"/>
  <c r="P32" i="13"/>
  <c r="A10" i="13"/>
  <c r="A12" i="13"/>
  <c r="N31" i="13"/>
  <c r="A30" i="13"/>
  <c r="J1" i="13"/>
  <c r="B47" i="13"/>
  <c r="C49" i="13" s="1"/>
  <c r="M14" i="13"/>
  <c r="A13" i="13"/>
  <c r="C45" i="13"/>
  <c r="B45" i="13"/>
  <c r="F12" i="13"/>
  <c r="O12" i="13" s="1"/>
  <c r="P13" i="13"/>
  <c r="L28" i="11"/>
  <c r="K28" i="11"/>
  <c r="R40" i="7" l="1"/>
  <c r="G18" i="18"/>
  <c r="I18" i="18" s="1"/>
  <c r="S28" i="7"/>
  <c r="O28" i="7"/>
  <c r="G16" i="18"/>
  <c r="P41" i="7"/>
  <c r="O40" i="7"/>
  <c r="A14" i="13"/>
  <c r="M15" i="13"/>
  <c r="N32" i="13"/>
  <c r="A31" i="13"/>
  <c r="P14" i="13"/>
  <c r="F13" i="13"/>
  <c r="O13" i="13" s="1"/>
  <c r="P33" i="13"/>
  <c r="F32" i="13"/>
  <c r="O32" i="13" s="1"/>
  <c r="M36" i="13"/>
  <c r="C27" i="3"/>
  <c r="D27" i="3"/>
  <c r="E27" i="3"/>
  <c r="F27" i="3"/>
  <c r="B27" i="3"/>
  <c r="S41" i="7" l="1"/>
  <c r="J18" i="18"/>
  <c r="L18" i="18" s="1"/>
  <c r="N18" i="18" s="1"/>
  <c r="I28" i="18"/>
  <c r="H16" i="18"/>
  <c r="H28" i="18" s="1"/>
  <c r="M37" i="13"/>
  <c r="P15" i="13"/>
  <c r="F14" i="13"/>
  <c r="O14" i="13" s="1"/>
  <c r="F33" i="13"/>
  <c r="O33" i="13" s="1"/>
  <c r="P34" i="13"/>
  <c r="N33" i="13"/>
  <c r="A32" i="13"/>
  <c r="M16" i="13"/>
  <c r="A15" i="13"/>
  <c r="E44" i="12"/>
  <c r="F32" i="12"/>
  <c r="F15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8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21" i="12"/>
  <c r="A6" i="12"/>
  <c r="D22" i="12"/>
  <c r="C22" i="12"/>
  <c r="D5" i="12"/>
  <c r="C5" i="12"/>
  <c r="A24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I31" i="18" l="1"/>
  <c r="H41" i="18"/>
  <c r="N41" i="18" s="1"/>
  <c r="H30" i="18"/>
  <c r="H40" i="18"/>
  <c r="J16" i="18"/>
  <c r="M17" i="13"/>
  <c r="A16" i="13"/>
  <c r="M38" i="13"/>
  <c r="N34" i="13"/>
  <c r="A33" i="13"/>
  <c r="F15" i="13"/>
  <c r="O15" i="13" s="1"/>
  <c r="P16" i="13"/>
  <c r="F34" i="13"/>
  <c r="O34" i="13" s="1"/>
  <c r="P35" i="13"/>
  <c r="D39" i="12"/>
  <c r="C39" i="12"/>
  <c r="L31" i="18" l="1"/>
  <c r="N31" i="18" s="1"/>
  <c r="I35" i="18"/>
  <c r="I37" i="18" s="1"/>
  <c r="L66" i="18" s="1"/>
  <c r="N66" i="18" s="1"/>
  <c r="N40" i="18"/>
  <c r="H35" i="18"/>
  <c r="H37" i="18" s="1"/>
  <c r="L61" i="18" s="1"/>
  <c r="L30" i="18"/>
  <c r="L16" i="18"/>
  <c r="N35" i="13"/>
  <c r="A34" i="13"/>
  <c r="M18" i="13"/>
  <c r="A17" i="13"/>
  <c r="F16" i="13"/>
  <c r="O16" i="13" s="1"/>
  <c r="P17" i="13"/>
  <c r="M39" i="13"/>
  <c r="F35" i="13"/>
  <c r="O35" i="13" s="1"/>
  <c r="P36" i="13"/>
  <c r="C48" i="12"/>
  <c r="N16" i="18" l="1"/>
  <c r="N30" i="18"/>
  <c r="N61" i="18"/>
  <c r="O61" i="18" s="1"/>
  <c r="N36" i="13"/>
  <c r="A35" i="13"/>
  <c r="M40" i="13"/>
  <c r="A18" i="13"/>
  <c r="M19" i="13"/>
  <c r="P37" i="13"/>
  <c r="F36" i="13"/>
  <c r="O36" i="13" s="1"/>
  <c r="P18" i="13"/>
  <c r="F17" i="13"/>
  <c r="O17" i="13" s="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3" i="11"/>
  <c r="X8" i="11"/>
  <c r="X25" i="11" l="1"/>
  <c r="F29" i="18" s="1"/>
  <c r="P19" i="13"/>
  <c r="F18" i="13"/>
  <c r="O18" i="13" s="1"/>
  <c r="N37" i="13"/>
  <c r="A36" i="13"/>
  <c r="P38" i="13"/>
  <c r="F37" i="13"/>
  <c r="O37" i="13" s="1"/>
  <c r="M41" i="13"/>
  <c r="A19" i="13"/>
  <c r="M20" i="13"/>
  <c r="Y25" i="11"/>
  <c r="L33" i="7"/>
  <c r="W33" i="7" s="1"/>
  <c r="O47" i="13" l="1"/>
  <c r="F38" i="13"/>
  <c r="O38" i="13" s="1"/>
  <c r="P39" i="13"/>
  <c r="F19" i="13"/>
  <c r="O19" i="13" s="1"/>
  <c r="P20" i="13"/>
  <c r="M42" i="13"/>
  <c r="N38" i="13"/>
  <c r="A37" i="13"/>
  <c r="M21" i="13"/>
  <c r="A20" i="13"/>
  <c r="M62" i="7"/>
  <c r="M67" i="7" s="1"/>
  <c r="M22" i="13" l="1"/>
  <c r="A21" i="13"/>
  <c r="F20" i="13"/>
  <c r="O20" i="13" s="1"/>
  <c r="P21" i="13"/>
  <c r="N39" i="13"/>
  <c r="A38" i="13"/>
  <c r="M43" i="13"/>
  <c r="F39" i="13"/>
  <c r="O39" i="13" s="1"/>
  <c r="P40" i="13"/>
  <c r="V28" i="7"/>
  <c r="V37" i="7" s="1"/>
  <c r="M35" i="7"/>
  <c r="K28" i="7"/>
  <c r="J12" i="7"/>
  <c r="L12" i="7" s="1"/>
  <c r="Y12" i="7" s="1"/>
  <c r="Z12" i="7" s="1"/>
  <c r="J21" i="7"/>
  <c r="L8" i="7"/>
  <c r="J11" i="7"/>
  <c r="J18" i="7"/>
  <c r="L18" i="7" s="1"/>
  <c r="Y18" i="7" s="1"/>
  <c r="Z18" i="7" s="1"/>
  <c r="J19" i="7"/>
  <c r="L19" i="7" s="1"/>
  <c r="Y19" i="7" s="1"/>
  <c r="Z19" i="7" s="1"/>
  <c r="J20" i="7"/>
  <c r="J22" i="7"/>
  <c r="J24" i="7"/>
  <c r="J26" i="7"/>
  <c r="L26" i="7" s="1"/>
  <c r="Y26" i="7" s="1"/>
  <c r="Z26" i="7" s="1"/>
  <c r="G8" i="7"/>
  <c r="F8" i="7"/>
  <c r="J14" i="7"/>
  <c r="J15" i="7"/>
  <c r="J16" i="7"/>
  <c r="J17" i="7"/>
  <c r="J13" i="7"/>
  <c r="I76" i="7" l="1"/>
  <c r="I78" i="7"/>
  <c r="J78" i="7" s="1"/>
  <c r="K78" i="7" s="1"/>
  <c r="I77" i="7"/>
  <c r="J77" i="7" s="1"/>
  <c r="K77" i="7" s="1"/>
  <c r="I19" i="12"/>
  <c r="I36" i="12" s="1"/>
  <c r="I21" i="12"/>
  <c r="I38" i="12" s="1"/>
  <c r="I11" i="12"/>
  <c r="I28" i="12" s="1"/>
  <c r="I6" i="12"/>
  <c r="I23" i="12" s="1"/>
  <c r="I10" i="12"/>
  <c r="I27" i="12" s="1"/>
  <c r="I9" i="12"/>
  <c r="I26" i="12" s="1"/>
  <c r="I16" i="12"/>
  <c r="I33" i="12" s="1"/>
  <c r="H10" i="12"/>
  <c r="I18" i="12"/>
  <c r="I35" i="12" s="1"/>
  <c r="I8" i="12"/>
  <c r="I25" i="12" s="1"/>
  <c r="H42" i="12"/>
  <c r="H43" i="12" s="1"/>
  <c r="H44" i="12" s="1"/>
  <c r="I17" i="12"/>
  <c r="I34" i="12" s="1"/>
  <c r="I7" i="12"/>
  <c r="I13" i="12"/>
  <c r="I30" i="12" s="1"/>
  <c r="I20" i="12"/>
  <c r="I37" i="12" s="1"/>
  <c r="I15" i="12"/>
  <c r="I14" i="12"/>
  <c r="I31" i="12" s="1"/>
  <c r="I12" i="12"/>
  <c r="I29" i="12" s="1"/>
  <c r="G20" i="12"/>
  <c r="G19" i="12"/>
  <c r="G10" i="12"/>
  <c r="G27" i="12" s="1"/>
  <c r="R30" i="7"/>
  <c r="R35" i="7" s="1"/>
  <c r="R37" i="7" s="1"/>
  <c r="R61" i="7" s="1"/>
  <c r="P31" i="7"/>
  <c r="P35" i="7" s="1"/>
  <c r="P37" i="7" s="1"/>
  <c r="P62" i="7" s="1"/>
  <c r="P66" i="7" s="1"/>
  <c r="O30" i="7"/>
  <c r="O35" i="7" s="1"/>
  <c r="O37" i="7" s="1"/>
  <c r="O61" i="7" s="1"/>
  <c r="S31" i="7"/>
  <c r="S35" i="7" s="1"/>
  <c r="S37" i="7" s="1"/>
  <c r="S62" i="7" s="1"/>
  <c r="S66" i="7" s="1"/>
  <c r="E29" i="12"/>
  <c r="F29" i="12" s="1"/>
  <c r="E12" i="12"/>
  <c r="F12" i="12" s="1"/>
  <c r="J12" i="12" s="1"/>
  <c r="L20" i="7"/>
  <c r="Y20" i="7" s="1"/>
  <c r="Z20" i="7" s="1"/>
  <c r="E33" i="12"/>
  <c r="F33" i="12" s="1"/>
  <c r="J33" i="12" s="1"/>
  <c r="E16" i="12"/>
  <c r="F16" i="12" s="1"/>
  <c r="J16" i="12" s="1"/>
  <c r="E28" i="12"/>
  <c r="F28" i="12" s="1"/>
  <c r="E11" i="12"/>
  <c r="F11" i="12" s="1"/>
  <c r="J11" i="12" s="1"/>
  <c r="L21" i="7"/>
  <c r="Y21" i="7" s="1"/>
  <c r="Z21" i="7" s="1"/>
  <c r="E34" i="12"/>
  <c r="F34" i="12" s="1"/>
  <c r="J34" i="12" s="1"/>
  <c r="E17" i="12"/>
  <c r="F17" i="12" s="1"/>
  <c r="J17" i="12" s="1"/>
  <c r="E26" i="12"/>
  <c r="F26" i="12" s="1"/>
  <c r="J26" i="12" s="1"/>
  <c r="E9" i="12"/>
  <c r="F9" i="12" s="1"/>
  <c r="J9" i="12" s="1"/>
  <c r="E27" i="12"/>
  <c r="F27" i="12" s="1"/>
  <c r="E10" i="12"/>
  <c r="F10" i="12" s="1"/>
  <c r="J10" i="12" s="1"/>
  <c r="L24" i="7"/>
  <c r="Y24" i="7" s="1"/>
  <c r="Z24" i="7" s="1"/>
  <c r="E21" i="12"/>
  <c r="F21" i="12" s="1"/>
  <c r="J21" i="12" s="1"/>
  <c r="E38" i="12"/>
  <c r="F38" i="12" s="1"/>
  <c r="J38" i="12" s="1"/>
  <c r="L22" i="7"/>
  <c r="Y22" i="7" s="1"/>
  <c r="Z22" i="7" s="1"/>
  <c r="E35" i="12"/>
  <c r="F35" i="12" s="1"/>
  <c r="E18" i="12"/>
  <c r="F18" i="12" s="1"/>
  <c r="L11" i="7"/>
  <c r="Y11" i="7" s="1"/>
  <c r="Z11" i="7" s="1"/>
  <c r="E7" i="12"/>
  <c r="F7" i="12" s="1"/>
  <c r="E24" i="12"/>
  <c r="F24" i="12" s="1"/>
  <c r="N40" i="13"/>
  <c r="A39" i="13"/>
  <c r="A22" i="13"/>
  <c r="M23" i="13"/>
  <c r="P22" i="13"/>
  <c r="F21" i="13"/>
  <c r="O21" i="13" s="1"/>
  <c r="M44" i="13"/>
  <c r="P41" i="13"/>
  <c r="F40" i="13"/>
  <c r="O40" i="13" s="1"/>
  <c r="F8" i="12"/>
  <c r="J8" i="12" s="1"/>
  <c r="F25" i="12"/>
  <c r="J25" i="12" s="1"/>
  <c r="F30" i="12"/>
  <c r="F14" i="12"/>
  <c r="F31" i="12"/>
  <c r="I24" i="12"/>
  <c r="F13" i="12"/>
  <c r="W20" i="7"/>
  <c r="W26" i="7"/>
  <c r="W19" i="7"/>
  <c r="W24" i="7"/>
  <c r="W18" i="7"/>
  <c r="W11" i="7"/>
  <c r="G42" i="12"/>
  <c r="G43" i="12" s="1"/>
  <c r="W12" i="7"/>
  <c r="L17" i="7"/>
  <c r="Y17" i="7" s="1"/>
  <c r="Z17" i="7" s="1"/>
  <c r="L16" i="7"/>
  <c r="Y16" i="7" s="1"/>
  <c r="Z16" i="7" s="1"/>
  <c r="L14" i="7"/>
  <c r="Y14" i="7" s="1"/>
  <c r="Z14" i="7" s="1"/>
  <c r="M28" i="7"/>
  <c r="L13" i="7"/>
  <c r="Y13" i="7" s="1"/>
  <c r="Z13" i="7" s="1"/>
  <c r="L15" i="7"/>
  <c r="Y15" i="7" s="1"/>
  <c r="Z15" i="7" s="1"/>
  <c r="I28" i="7"/>
  <c r="J10" i="7"/>
  <c r="L10" i="7" s="1"/>
  <c r="Y10" i="7" s="1"/>
  <c r="J31" i="12" l="1"/>
  <c r="J14" i="12"/>
  <c r="J18" i="12"/>
  <c r="J20" i="12"/>
  <c r="G37" i="12"/>
  <c r="J37" i="12" s="1"/>
  <c r="G25" i="18"/>
  <c r="J25" i="18" s="1"/>
  <c r="L25" i="18" s="1"/>
  <c r="N25" i="18" s="1"/>
  <c r="L78" i="7"/>
  <c r="N78" i="7"/>
  <c r="J19" i="12"/>
  <c r="G36" i="12"/>
  <c r="J36" i="12" s="1"/>
  <c r="I32" i="12"/>
  <c r="J32" i="12" s="1"/>
  <c r="J15" i="12"/>
  <c r="H27" i="12"/>
  <c r="H22" i="12" s="1"/>
  <c r="H49" i="12" s="1"/>
  <c r="H5" i="12"/>
  <c r="G23" i="18"/>
  <c r="L77" i="7"/>
  <c r="N77" i="7"/>
  <c r="J35" i="12"/>
  <c r="J76" i="7"/>
  <c r="I80" i="7"/>
  <c r="W22" i="7"/>
  <c r="Z10" i="7"/>
  <c r="Z28" i="7" s="1"/>
  <c r="Y28" i="7"/>
  <c r="E23" i="12"/>
  <c r="E22" i="12" s="1"/>
  <c r="E49" i="12" s="1"/>
  <c r="W21" i="7"/>
  <c r="E6" i="12"/>
  <c r="F6" i="12" s="1"/>
  <c r="P42" i="13"/>
  <c r="F41" i="13"/>
  <c r="O41" i="13" s="1"/>
  <c r="P23" i="13"/>
  <c r="F22" i="13"/>
  <c r="O22" i="13" s="1"/>
  <c r="N41" i="13"/>
  <c r="A40" i="13"/>
  <c r="A23" i="13"/>
  <c r="M24" i="13"/>
  <c r="M45" i="13"/>
  <c r="J24" i="12"/>
  <c r="J29" i="12"/>
  <c r="W14" i="7"/>
  <c r="W13" i="7"/>
  <c r="W10" i="7"/>
  <c r="J7" i="12"/>
  <c r="I5" i="12"/>
  <c r="I48" i="12" s="1"/>
  <c r="J13" i="12"/>
  <c r="G5" i="12"/>
  <c r="W15" i="7"/>
  <c r="W16" i="7"/>
  <c r="W17" i="7"/>
  <c r="G44" i="12"/>
  <c r="M37" i="7"/>
  <c r="M42" i="7"/>
  <c r="I31" i="7"/>
  <c r="L31" i="7" s="1"/>
  <c r="W31" i="7" s="1"/>
  <c r="H41" i="7"/>
  <c r="W41" i="7" s="1"/>
  <c r="J27" i="12" l="1"/>
  <c r="K76" i="7"/>
  <c r="J80" i="7"/>
  <c r="J23" i="18"/>
  <c r="L23" i="18" s="1"/>
  <c r="N23" i="18" s="1"/>
  <c r="H48" i="12"/>
  <c r="H51" i="12" s="1"/>
  <c r="H39" i="12"/>
  <c r="H46" i="12" s="1"/>
  <c r="F23" i="12"/>
  <c r="J23" i="12" s="1"/>
  <c r="E5" i="12"/>
  <c r="E48" i="12" s="1"/>
  <c r="E51" i="12" s="1"/>
  <c r="N42" i="13"/>
  <c r="A41" i="13"/>
  <c r="F42" i="13"/>
  <c r="O42" i="13" s="1"/>
  <c r="P43" i="13"/>
  <c r="M25" i="13"/>
  <c r="A24" i="13"/>
  <c r="F23" i="13"/>
  <c r="O23" i="13" s="1"/>
  <c r="P24" i="13"/>
  <c r="W28" i="7"/>
  <c r="J6" i="12"/>
  <c r="F5" i="12"/>
  <c r="I22" i="12"/>
  <c r="I39" i="12" s="1"/>
  <c r="J30" i="12"/>
  <c r="G22" i="12"/>
  <c r="G39" i="12" s="1"/>
  <c r="J28" i="12"/>
  <c r="G48" i="12"/>
  <c r="I35" i="7"/>
  <c r="I37" i="7" s="1"/>
  <c r="F28" i="7"/>
  <c r="F29" i="7" s="1"/>
  <c r="L28" i="7"/>
  <c r="J28" i="7"/>
  <c r="H28" i="7"/>
  <c r="H40" i="7" s="1"/>
  <c r="W40" i="7" s="1"/>
  <c r="G28" i="7"/>
  <c r="G29" i="7" s="1"/>
  <c r="N76" i="7" l="1"/>
  <c r="N80" i="7" s="1"/>
  <c r="G14" i="18"/>
  <c r="L76" i="7"/>
  <c r="L80" i="7" s="1"/>
  <c r="K80" i="7"/>
  <c r="E39" i="12"/>
  <c r="E46" i="12" s="1"/>
  <c r="F22" i="12"/>
  <c r="F39" i="12" s="1"/>
  <c r="M26" i="13"/>
  <c r="A26" i="13" s="1"/>
  <c r="A25" i="13"/>
  <c r="N43" i="13"/>
  <c r="A42" i="13"/>
  <c r="F24" i="13"/>
  <c r="O24" i="13" s="1"/>
  <c r="P25" i="13"/>
  <c r="P44" i="13"/>
  <c r="F43" i="13"/>
  <c r="O43" i="13" s="1"/>
  <c r="J22" i="12"/>
  <c r="I49" i="12"/>
  <c r="I51" i="12" s="1"/>
  <c r="I46" i="12"/>
  <c r="G46" i="12"/>
  <c r="G49" i="12"/>
  <c r="G51" i="12" s="1"/>
  <c r="L66" i="7"/>
  <c r="W66" i="7" s="1"/>
  <c r="H30" i="7"/>
  <c r="L30" i="7" s="1"/>
  <c r="W30" i="7" s="1"/>
  <c r="J32" i="7"/>
  <c r="J35" i="7" s="1"/>
  <c r="J37" i="7" s="1"/>
  <c r="H42" i="7"/>
  <c r="W42" i="7" s="1"/>
  <c r="W44" i="7" s="1"/>
  <c r="J14" i="18" l="1"/>
  <c r="J28" i="18" s="1"/>
  <c r="L14" i="18"/>
  <c r="G28" i="18"/>
  <c r="G29" i="18" s="1"/>
  <c r="P45" i="13"/>
  <c r="F45" i="13" s="1"/>
  <c r="O45" i="13" s="1"/>
  <c r="F44" i="13"/>
  <c r="O44" i="13" s="1"/>
  <c r="N44" i="13"/>
  <c r="A43" i="13"/>
  <c r="P26" i="13"/>
  <c r="F26" i="13" s="1"/>
  <c r="O26" i="13" s="1"/>
  <c r="F25" i="13"/>
  <c r="O25" i="13" s="1"/>
  <c r="L67" i="7"/>
  <c r="H35" i="7"/>
  <c r="H37" i="7" s="1"/>
  <c r="L32" i="7"/>
  <c r="H44" i="7"/>
  <c r="N14" i="18" l="1"/>
  <c r="N28" i="18" s="1"/>
  <c r="L28" i="18"/>
  <c r="H42" i="18"/>
  <c r="J32" i="18"/>
  <c r="L69" i="7"/>
  <c r="W67" i="7"/>
  <c r="W69" i="7" s="1"/>
  <c r="L35" i="7"/>
  <c r="L54" i="7" s="1"/>
  <c r="L57" i="7" s="1"/>
  <c r="L62" i="7" s="1"/>
  <c r="W62" i="7" s="1"/>
  <c r="X62" i="7" s="1"/>
  <c r="X69" i="7" s="1"/>
  <c r="W32" i="7"/>
  <c r="W35" i="7" s="1"/>
  <c r="W54" i="7" s="1"/>
  <c r="W57" i="7" s="1"/>
  <c r="N45" i="13"/>
  <c r="A45" i="13" s="1"/>
  <c r="A44" i="13"/>
  <c r="D42" i="12"/>
  <c r="F42" i="12" s="1"/>
  <c r="L61" i="7"/>
  <c r="W61" i="7" s="1"/>
  <c r="X61" i="7" s="1"/>
  <c r="J35" i="18" l="1"/>
  <c r="J37" i="18" s="1"/>
  <c r="L32" i="18"/>
  <c r="N42" i="18"/>
  <c r="N44" i="18" s="1"/>
  <c r="H44" i="18"/>
  <c r="L37" i="7"/>
  <c r="L51" i="7" s="1"/>
  <c r="J42" i="12"/>
  <c r="F48" i="12"/>
  <c r="D48" i="12"/>
  <c r="L64" i="7"/>
  <c r="D43" i="12"/>
  <c r="W37" i="7"/>
  <c r="N32" i="18" l="1"/>
  <c r="N35" i="18" s="1"/>
  <c r="L35" i="18"/>
  <c r="L67" i="18"/>
  <c r="L62" i="18"/>
  <c r="D44" i="12"/>
  <c r="D46" i="12" s="1"/>
  <c r="F43" i="12"/>
  <c r="D49" i="12"/>
  <c r="D51" i="12" s="1"/>
  <c r="W51" i="7"/>
  <c r="W64" i="7"/>
  <c r="X64" i="7" s="1"/>
  <c r="L69" i="18" l="1"/>
  <c r="N67" i="18"/>
  <c r="N69" i="18" s="1"/>
  <c r="L54" i="18"/>
  <c r="L57" i="18" s="1"/>
  <c r="L37" i="18"/>
  <c r="L51" i="18" s="1"/>
  <c r="N62" i="18"/>
  <c r="L64" i="18"/>
  <c r="P44" i="18"/>
  <c r="N54" i="18"/>
  <c r="N57" i="18" s="1"/>
  <c r="N37" i="18"/>
  <c r="N51" i="18" s="1"/>
  <c r="J43" i="12"/>
  <c r="J49" i="12" s="1"/>
  <c r="F49" i="12"/>
  <c r="F51" i="12" s="1"/>
  <c r="F44" i="12"/>
  <c r="F46" i="12" s="1"/>
  <c r="C49" i="12"/>
  <c r="C51" i="12" s="1"/>
  <c r="J5" i="12"/>
  <c r="J48" i="12" s="1"/>
  <c r="J51" i="12" s="1"/>
  <c r="N64" i="18" l="1"/>
  <c r="O64" i="18" s="1"/>
  <c r="O62" i="18"/>
  <c r="O69" i="18" s="1"/>
  <c r="J44" i="12"/>
  <c r="J39" i="12"/>
  <c r="J46" i="12" l="1"/>
</calcChain>
</file>

<file path=xl/sharedStrings.xml><?xml version="1.0" encoding="utf-8"?>
<sst xmlns="http://schemas.openxmlformats.org/spreadsheetml/2006/main" count="11231" uniqueCount="1303">
  <si>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</si>
  <si>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</si>
  <si>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</si>
  <si>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</si>
  <si>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</si>
  <si>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</si>
  <si>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</si>
  <si>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</si>
  <si>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</si>
  <si>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</si>
  <si>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</si>
  <si>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</si>
  <si>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</si>
  <si>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</si>
  <si>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</si>
  <si>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</si>
  <si>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</si>
  <si>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TX-TU</t>
  </si>
  <si>
    <t>WC00</t>
  </si>
  <si>
    <t>00000</t>
  </si>
  <si>
    <t>2832</t>
  </si>
  <si>
    <t/>
  </si>
  <si>
    <t>Yes</t>
  </si>
  <si>
    <t>TX</t>
  </si>
  <si>
    <t>CU00</t>
  </si>
  <si>
    <t>JRNL00424667</t>
  </si>
  <si>
    <t>25AF</t>
  </si>
  <si>
    <t>ADIT-AFUDC</t>
  </si>
  <si>
    <t>JRNL00433725</t>
  </si>
  <si>
    <t>JRNL00445432</t>
  </si>
  <si>
    <t>MD00</t>
  </si>
  <si>
    <t>2500</t>
  </si>
  <si>
    <t>2822</t>
  </si>
  <si>
    <t>Reverse Q2 ADIT</t>
  </si>
  <si>
    <t>JRNL00439994</t>
  </si>
  <si>
    <t>JRNL00453448</t>
  </si>
  <si>
    <t>Reverse Q3 ADIT Reclass</t>
  </si>
  <si>
    <t>JRNL00446308</t>
  </si>
  <si>
    <t>JRNL00453943</t>
  </si>
  <si>
    <t>TX-SPCL</t>
  </si>
  <si>
    <t>JRNL00454103</t>
  </si>
  <si>
    <t>25DP</t>
  </si>
  <si>
    <t>ADIT-Cost of Removal</t>
  </si>
  <si>
    <t>ADIT-Asset Gain/ Loss</t>
  </si>
  <si>
    <t>25BN</t>
  </si>
  <si>
    <t>2831</t>
  </si>
  <si>
    <t>JRNL00350720</t>
  </si>
  <si>
    <t>REVERSE Q2 ADIT</t>
  </si>
  <si>
    <t>JRNL00333149</t>
  </si>
  <si>
    <t>25AM</t>
  </si>
  <si>
    <t>25PG</t>
  </si>
  <si>
    <t>25BD</t>
  </si>
  <si>
    <t>ADIT-Bad Debts</t>
  </si>
  <si>
    <t>JRNL00333143</t>
  </si>
  <si>
    <t>REVERSE 1Q ADIT</t>
  </si>
  <si>
    <t>JRNL00317954</t>
  </si>
  <si>
    <t>DE00</t>
  </si>
  <si>
    <t>ADIT-Conversions</t>
  </si>
  <si>
    <t>JRNL00403771</t>
  </si>
  <si>
    <t>Q1 ADIT RECLASS</t>
  </si>
  <si>
    <t>JRNL00410513</t>
  </si>
  <si>
    <t>JRNL00417381</t>
  </si>
  <si>
    <t>ADIT-Environmental</t>
  </si>
  <si>
    <t>ADIT-CIAC</t>
  </si>
  <si>
    <t>JRNL00389676</t>
  </si>
  <si>
    <t>Reverse Prior Q2 ADIT</t>
  </si>
  <si>
    <t>JRNL00382888</t>
  </si>
  <si>
    <t>ADIT-Long-term Bonus</t>
  </si>
  <si>
    <t>WO</t>
  </si>
  <si>
    <t>JRNL00421585</t>
  </si>
  <si>
    <t>Diff. Accr vs. 281G adj at method change</t>
  </si>
  <si>
    <t>ADIT-FED NOL</t>
  </si>
  <si>
    <t>ADIT-Short-term Bonus (IPP)</t>
  </si>
  <si>
    <t>JRNL00350724</t>
  </si>
  <si>
    <t>JRNL00382884</t>
  </si>
  <si>
    <t>REVERSE Q1 ADIT 2015</t>
  </si>
  <si>
    <t>JRNL00376458</t>
  </si>
  <si>
    <t>JRNL00396403</t>
  </si>
  <si>
    <t>Reverse Q3 ADIT</t>
  </si>
  <si>
    <t>JRNL00389735</t>
  </si>
  <si>
    <t>JRNL00409083</t>
  </si>
  <si>
    <t>Reverse Q1 ADIT Reclass</t>
  </si>
  <si>
    <t>JRNL00423659</t>
  </si>
  <si>
    <t>JRNL00455287</t>
  </si>
  <si>
    <t>JRNL00439838</t>
  </si>
  <si>
    <t>Reverse Q1 ADIT</t>
  </si>
  <si>
    <t>ADIT-ADIT Reclass</t>
  </si>
  <si>
    <t>25ID</t>
  </si>
  <si>
    <t>ADIT-Reserve for Insurance Deductibles</t>
  </si>
  <si>
    <t>ADIT-Excess Deferred</t>
  </si>
  <si>
    <t>JRNL00457707</t>
  </si>
  <si>
    <t>AA700</t>
  </si>
  <si>
    <t>Recl YE ADIT-LT Cash</t>
  </si>
  <si>
    <t>ADIT-Purchased Gas Costs</t>
  </si>
  <si>
    <t>Record ADIT IPP Q1 2015</t>
  </si>
  <si>
    <t>Record ADIT IPP Q2 2015</t>
  </si>
  <si>
    <t>JRNL00424629</t>
  </si>
  <si>
    <t>Recl YE ADIT-ST Cash</t>
  </si>
  <si>
    <t>Recl YE ADIT-LT Stock</t>
  </si>
  <si>
    <t>JRNL00416359</t>
  </si>
  <si>
    <t>JRNL00422963</t>
  </si>
  <si>
    <t>misc, investigated &amp; written off</t>
  </si>
  <si>
    <t>ADIT-Amortization</t>
  </si>
  <si>
    <t>Record ADIT Depr Q2 2014</t>
  </si>
  <si>
    <t>ADIT-Repairs</t>
  </si>
  <si>
    <t>Record ADIT Depr Q3 2015</t>
  </si>
  <si>
    <t>JRNL00425169</t>
  </si>
  <si>
    <t>Record ADIT Depr Q1 2014</t>
  </si>
  <si>
    <t>Record ADIT Depr Q3 2014</t>
  </si>
  <si>
    <t>JRNL00423339</t>
  </si>
  <si>
    <t>Write-off Misc difference</t>
  </si>
  <si>
    <t>ADIT-263A Capitalized Interest/Overhead</t>
  </si>
  <si>
    <t>Record ADIT Depr Q1 2015</t>
  </si>
  <si>
    <t>Record ADIT Depr Q2 2015</t>
  </si>
  <si>
    <t>difference investigated &amp; written off</t>
  </si>
  <si>
    <t>ADIT-Customer Based Intangibles</t>
  </si>
  <si>
    <t>Record ADIT PGC Q3 2015</t>
  </si>
  <si>
    <t>ADIT-Depreciation</t>
  </si>
  <si>
    <t>Reverse ADIT Q3  2014</t>
  </si>
  <si>
    <t>JRNL00368370</t>
  </si>
  <si>
    <t>Record ADIT IPP Q3 2015</t>
  </si>
  <si>
    <t>Record ADIT PGC Q1 2015</t>
  </si>
  <si>
    <t>25SI</t>
  </si>
  <si>
    <t>25SL</t>
  </si>
  <si>
    <t>ADIT-Real Property Taxes</t>
  </si>
  <si>
    <t>ADIT-Self Insurance (Non-Current)</t>
  </si>
  <si>
    <t>ADIT-Post Retirement Benefits</t>
  </si>
  <si>
    <t>25RE</t>
  </si>
  <si>
    <t>ADIT-State NOL</t>
  </si>
  <si>
    <t>ADIT-Rate Case</t>
  </si>
  <si>
    <t>ADIT-State Decoupling</t>
  </si>
  <si>
    <t>ADIT-Pension</t>
  </si>
  <si>
    <t>25TX</t>
  </si>
  <si>
    <t>ADIT-UnProtected Plant Gross-up</t>
  </si>
  <si>
    <t>ADIT-UnProtected NonPlant Gross-up</t>
  </si>
  <si>
    <t>25RT</t>
  </si>
  <si>
    <t>Recl YE ADIT-R Trust</t>
  </si>
  <si>
    <t>JRNL00457708</t>
  </si>
  <si>
    <t>ADIT Excs Def ST Cash-Reg Gross Up</t>
  </si>
  <si>
    <t>ADIT Excs Def R Trust-Reg Gross Up</t>
  </si>
  <si>
    <t>ADIT Excs Def SERP-Reg Gross Up</t>
  </si>
  <si>
    <t>ADIT-Gross up</t>
  </si>
  <si>
    <t>ADIT-Protected Gross-up</t>
  </si>
  <si>
    <t>25SR</t>
  </si>
  <si>
    <t>Recl YE ADIT-SERP</t>
  </si>
  <si>
    <t>ADIT Excs Def LT Stock-Reg Gross Up</t>
  </si>
  <si>
    <t>ADIT Excs Def LT Cash-Reg Gross Up</t>
  </si>
  <si>
    <t>Cost of Removal</t>
  </si>
  <si>
    <t>JRNL00429471</t>
  </si>
  <si>
    <t>Row Labels</t>
  </si>
  <si>
    <t>Grand Total</t>
  </si>
  <si>
    <t>Sum of Amount</t>
  </si>
  <si>
    <t>(Multiple Items)</t>
  </si>
  <si>
    <t>Column Labels</t>
  </si>
  <si>
    <t>Total</t>
  </si>
  <si>
    <t>S_NOL_SYS</t>
  </si>
  <si>
    <t>Self Insurance (Current)</t>
  </si>
  <si>
    <t>25SI.01</t>
  </si>
  <si>
    <t>Repairs Deduction</t>
  </si>
  <si>
    <t>Purchased Gas Cots</t>
  </si>
  <si>
    <t>Reserve for Insurance Deductibles</t>
  </si>
  <si>
    <t>Asset Gain/Loss</t>
  </si>
  <si>
    <t>25DP.04</t>
  </si>
  <si>
    <t>25DP.03</t>
  </si>
  <si>
    <t>Contribution in Aid of Construction</t>
  </si>
  <si>
    <t>25DP.02</t>
  </si>
  <si>
    <t>Depreciation</t>
  </si>
  <si>
    <t>25DP.01</t>
  </si>
  <si>
    <t>Short Term Bonus</t>
  </si>
  <si>
    <t>25BN.01</t>
  </si>
  <si>
    <t>Bad Debts</t>
  </si>
  <si>
    <t>AFUDC</t>
  </si>
  <si>
    <t>Ending Balance</t>
  </si>
  <si>
    <t>Unassigned</t>
  </si>
  <si>
    <t>Balance Sheet Only</t>
  </si>
  <si>
    <t>REG ASSETS</t>
  </si>
  <si>
    <t>OCI</t>
  </si>
  <si>
    <t>Net Operating Loss</t>
  </si>
  <si>
    <t>ITC</t>
  </si>
  <si>
    <t>Current Activity</t>
  </si>
  <si>
    <t>Adj Beg</t>
  </si>
  <si>
    <t>Beg Adj</t>
  </si>
  <si>
    <t>Tax Return Trueup</t>
  </si>
  <si>
    <t>Rate Change</t>
  </si>
  <si>
    <t>Beginning Balance</t>
  </si>
  <si>
    <t>Name</t>
  </si>
  <si>
    <t>Code</t>
  </si>
  <si>
    <t>Seg 3</t>
  </si>
  <si>
    <t>SubConsolidated Deferred Balances Report - Fed/State/FBOS (Reporting)</t>
  </si>
  <si>
    <t>Chesapeake Utilities Corporation_Deploy_2014.1</t>
  </si>
  <si>
    <t>Rabbi Trust</t>
  </si>
  <si>
    <t>12/31/2017 Balance</t>
  </si>
  <si>
    <t>Tax Reform 2017 Reg Asset Gross Up</t>
  </si>
  <si>
    <t>Protected</t>
  </si>
  <si>
    <t>Protected Gross-up</t>
  </si>
  <si>
    <t>UnProtected Plant</t>
  </si>
  <si>
    <t>UnProtected Plant Gross-up</t>
  </si>
  <si>
    <t>UnProtected NonPlant</t>
  </si>
  <si>
    <t>UnProtected NonPlant Gross-up</t>
  </si>
  <si>
    <t>Fed</t>
  </si>
  <si>
    <t>Blended</t>
  </si>
  <si>
    <t>G/L</t>
  </si>
  <si>
    <t>Adjust G/L 25TX</t>
  </si>
  <si>
    <t>OTP Adj</t>
  </si>
  <si>
    <t>Excess Deferred</t>
  </si>
  <si>
    <t>280R-254P</t>
  </si>
  <si>
    <t>280R-254N</t>
  </si>
  <si>
    <t>12/31/2017 Balance befor Rate Change</t>
  </si>
  <si>
    <t>Allocation from Parent</t>
  </si>
  <si>
    <t>Less Q1 Entries</t>
  </si>
  <si>
    <t>Chesapeake Utilities Corporation</t>
  </si>
  <si>
    <t>Deferred income tax component before and after the change in the federal income tax rate</t>
  </si>
  <si>
    <t>BEFORE</t>
  </si>
  <si>
    <t>AFTER</t>
  </si>
  <si>
    <t>a</t>
  </si>
  <si>
    <t>b</t>
  </si>
  <si>
    <t>c</t>
  </si>
  <si>
    <t>d</t>
  </si>
  <si>
    <t>Reg Liability - Protected</t>
  </si>
  <si>
    <t>Reg Liability -UnProtected</t>
  </si>
  <si>
    <t>d-b-c</t>
  </si>
  <si>
    <t>Total with Gross-up</t>
  </si>
  <si>
    <t>254N</t>
  </si>
  <si>
    <t>254N Total</t>
  </si>
  <si>
    <t>254P</t>
  </si>
  <si>
    <t>254P Total</t>
  </si>
  <si>
    <t>MD00-00000-280R-254P</t>
  </si>
  <si>
    <t>280R</t>
  </si>
  <si>
    <t>MD00-00000-280R-254N</t>
  </si>
  <si>
    <t>WC00-00000-280R-254N</t>
  </si>
  <si>
    <t>WC00-00000-280R-254P</t>
  </si>
  <si>
    <t>JRNL00455239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</si>
  <si>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</si>
  <si>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</si>
  <si>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</si>
  <si>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</si>
  <si>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Unrecorded adjustment to correct grossup calulation at year end</t>
  </si>
  <si>
    <t>Reg Liability -UnProtected Plant</t>
  </si>
  <si>
    <t>Reg Liability -UnProtected Non Plant</t>
  </si>
  <si>
    <t>Excess Deferred Tax Liability before gross up</t>
  </si>
  <si>
    <t>FC00</t>
  </si>
  <si>
    <t>FE00</t>
  </si>
  <si>
    <t>25CN</t>
  </si>
  <si>
    <t>ADIT-Storm Reserve</t>
  </si>
  <si>
    <t>ADIT-Vacation</t>
  </si>
  <si>
    <t>ADIT-Conservation</t>
  </si>
  <si>
    <t>Record ADIT Cost Cons. Q1 2015</t>
  </si>
  <si>
    <t>Record ADIT Cost Cons. Q3 2015</t>
  </si>
  <si>
    <t>JRNL00394882</t>
  </si>
  <si>
    <t>Reverse P/Y AJE - signs mixed up</t>
  </si>
  <si>
    <t>ADIT-ADIT Reg Asset</t>
  </si>
  <si>
    <t>ADIT-Property LT</t>
  </si>
  <si>
    <t>CF00-00000-280R-254N</t>
  </si>
  <si>
    <t>CF00</t>
  </si>
  <si>
    <t>DE00-00000-280R-254N</t>
  </si>
  <si>
    <t>ES00-00000-280R-254N</t>
  </si>
  <si>
    <t>ES00</t>
  </si>
  <si>
    <t>FE00-00000-280R-254N</t>
  </si>
  <si>
    <t>FN00-00000-280R-254N</t>
  </si>
  <si>
    <t>FN00</t>
  </si>
  <si>
    <t>FT00-00000-280R-254N</t>
  </si>
  <si>
    <t>FT00</t>
  </si>
  <si>
    <t>FC00-00000-280R-254N</t>
  </si>
  <si>
    <t>FE00-00000-280R-254P</t>
  </si>
  <si>
    <t>ADIT-Piping and Conversion</t>
  </si>
  <si>
    <t>CF00-00000-280R-254P</t>
  </si>
  <si>
    <t>FI00-00000-280R-254N</t>
  </si>
  <si>
    <t>FI00</t>
  </si>
  <si>
    <t>DE00-00000-280R-254P</t>
  </si>
  <si>
    <t>FN00-00000-280R-254P</t>
  </si>
  <si>
    <t>ADIT-Fed Tx Ghg Reg Asset Other LT</t>
  </si>
  <si>
    <t>ES00-00000-280R-254P</t>
  </si>
  <si>
    <t>ADIT-481(a) Adjustment</t>
  </si>
  <si>
    <t>FC00-00000-280R-254P</t>
  </si>
  <si>
    <t>FI00-00000-280R-254P</t>
  </si>
  <si>
    <t>FT00-00000-280R-254P</t>
  </si>
  <si>
    <t>JRNL00455288</t>
  </si>
  <si>
    <t>NOL Reclass</t>
  </si>
  <si>
    <t>ADIT-Loss on Reacquired Debt</t>
  </si>
  <si>
    <t>ADIT-Deferred Revenue (Current)</t>
  </si>
  <si>
    <t>ADIT-SERP (Non-Current)</t>
  </si>
  <si>
    <t>ADIT-ADIT State Tax Reg Asset-DE</t>
  </si>
  <si>
    <t>ADIT-Tx Reg Asset Other LT</t>
  </si>
  <si>
    <t>ADIT-Flex Revenue</t>
  </si>
  <si>
    <t>ADIT-Deferred Revenue (Non-Current)</t>
  </si>
  <si>
    <t>ADIT-ADIT Outside Services</t>
  </si>
  <si>
    <t>ADIT-E3</t>
  </si>
  <si>
    <t>ADIT-Acquisition Adjustments</t>
  </si>
  <si>
    <t>EL00</t>
  </si>
  <si>
    <t>JRNL00457709</t>
  </si>
  <si>
    <t>EL00-00000-280R-254N</t>
  </si>
  <si>
    <t>Customer Based Intangibles</t>
  </si>
  <si>
    <t>25AM.01</t>
  </si>
  <si>
    <t>Amortization Schedules Prior Acquisitions</t>
  </si>
  <si>
    <t>Conservation</t>
  </si>
  <si>
    <t>FL</t>
  </si>
  <si>
    <t>SERP (Current)</t>
  </si>
  <si>
    <t>Total State</t>
  </si>
  <si>
    <t>FED</t>
  </si>
  <si>
    <t>25AF: AFUDC</t>
  </si>
  <si>
    <t>25AM.01: Amortization Schedules Prior Acquisitions</t>
  </si>
  <si>
    <t>25AM: Customer Based Intangibles</t>
  </si>
  <si>
    <t>25BD: Bad Debts</t>
  </si>
  <si>
    <t>25BN.01: Short Term Bonus</t>
  </si>
  <si>
    <t>25CN: Conservation</t>
  </si>
  <si>
    <t>25DP.01: Depreciation</t>
  </si>
  <si>
    <t>25DP.02: Contribution in Aid of Construction</t>
  </si>
  <si>
    <t>25DP.03: Cost of Removal</t>
  </si>
  <si>
    <t>25DP.04: Asset Gain/Loss</t>
  </si>
  <si>
    <t>25ID: Reserve for Insurance Deductibles</t>
  </si>
  <si>
    <t>25PG: Purchased Gas Cots</t>
  </si>
  <si>
    <t>25RE: Repairs Deduction</t>
  </si>
  <si>
    <t>25SI.01: Self Insurance (Current)</t>
  </si>
  <si>
    <t>Breakout of FED and State</t>
  </si>
  <si>
    <t>25RT: Rabbi Trust</t>
  </si>
  <si>
    <t>25SR: SERP</t>
  </si>
  <si>
    <t>25TX: Tax Reform 2017 Reg Asset Gross Up</t>
  </si>
  <si>
    <t>State</t>
  </si>
  <si>
    <t>Total FED</t>
  </si>
  <si>
    <t>Record ADIT Amortization Q1 2015</t>
  </si>
  <si>
    <t>Record ADIT Amortization Q2 2015</t>
  </si>
  <si>
    <t>Record ADIT Cost Cons. Q2 2015</t>
  </si>
  <si>
    <t>Record ADIT Amortization Q3 2015</t>
  </si>
  <si>
    <t>25SR.01</t>
  </si>
  <si>
    <t>FT00-00000-25DP-2822</t>
  </si>
  <si>
    <t>JRNL00364597</t>
  </si>
  <si>
    <t>FT00-00000-25AM-2832</t>
  </si>
  <si>
    <t>FPU ADIT Amortization-PRA</t>
  </si>
  <si>
    <t>JRNL00364666</t>
  </si>
  <si>
    <t>FL tax tup -  2013</t>
  </si>
  <si>
    <t>JRNL00373179</t>
  </si>
  <si>
    <t>FT00-00000-25PG-2831</t>
  </si>
  <si>
    <t>FT00-00000-25BN-2831</t>
  </si>
  <si>
    <t>FT00-00000-25BD-2831</t>
  </si>
  <si>
    <t>FT00-00000-25ID-2831</t>
  </si>
  <si>
    <t>FT00-00000-25CN-2831</t>
  </si>
  <si>
    <t>Record ADIT PGC Q2 2015</t>
  </si>
  <si>
    <t>JRNL00397732</t>
  </si>
  <si>
    <t>JRNL00398198</t>
  </si>
  <si>
    <t>FT ADIT Asset G/L - PRA</t>
  </si>
  <si>
    <t>FT ADIT Depreciation - PRA</t>
  </si>
  <si>
    <t>JRNL00398514</t>
  </si>
  <si>
    <t>FT State-FL Fed Benefit PRA</t>
  </si>
  <si>
    <t>FT ADIT Cost of Removal - PRA</t>
  </si>
  <si>
    <t>FT00-00000-25RE-2822</t>
  </si>
  <si>
    <t>FT00-00000-25SL-2832</t>
  </si>
  <si>
    <t>FT ADIT Repairs - PRA</t>
  </si>
  <si>
    <t>FT ADIT NOL - PRA</t>
  </si>
  <si>
    <t>write off, misc diff due to $200 trans</t>
  </si>
  <si>
    <t>Correct JE#2 - wrong sign used</t>
  </si>
  <si>
    <t>JRNL00423907</t>
  </si>
  <si>
    <t>JRNL00423900</t>
  </si>
  <si>
    <t>FT00-00000-25SI-2831</t>
  </si>
  <si>
    <t>FT00-00000-2500-2822</t>
  </si>
  <si>
    <t>FT00-00000-25TX-2822</t>
  </si>
  <si>
    <t>FT00-00000-25TX-2832</t>
  </si>
  <si>
    <t>FT00-AA700-25BN-2832</t>
  </si>
  <si>
    <t>FT00-AA700-25BN-2831</t>
  </si>
  <si>
    <t>FT00-AA700-25RT-2832</t>
  </si>
  <si>
    <t>FT00-AA700-25SR-2832</t>
  </si>
  <si>
    <t>2/21/2018 2:14:07 PM</t>
  </si>
  <si>
    <t>2017 TAX PROVISION 21%v2, FT - Sub Con</t>
  </si>
  <si>
    <t>UNNP</t>
  </si>
  <si>
    <t>FT ADIT</t>
  </si>
  <si>
    <t xml:space="preserve">Originating Org Unit:  </t>
  </si>
  <si>
    <t xml:space="preserve">Entered by:  </t>
  </si>
  <si>
    <t>Total Debits</t>
  </si>
  <si>
    <t xml:space="preserve">Journal Number — JRNL:  </t>
  </si>
  <si>
    <t xml:space="preserve">Approved by:  </t>
  </si>
  <si>
    <t>DR/CR TOT</t>
  </si>
  <si>
    <t xml:space="preserve">JE Description:  </t>
  </si>
  <si>
    <t>Recl YE ADIT</t>
  </si>
  <si>
    <t xml:space="preserve">Posted Date:  </t>
  </si>
  <si>
    <t>Row Ct.</t>
  </si>
  <si>
    <t>JE desc length</t>
  </si>
  <si>
    <t xml:space="preserve">Journal Type:  </t>
  </si>
  <si>
    <t xml:space="preserve">Prepared by:  </t>
  </si>
  <si>
    <t xml:space="preserve">Apply Date:  </t>
  </si>
  <si>
    <t>N</t>
  </si>
  <si>
    <t>Reversing?</t>
  </si>
  <si>
    <t>Account</t>
  </si>
  <si>
    <t>Debit</t>
  </si>
  <si>
    <t>Credit</t>
  </si>
  <si>
    <t>Ref</t>
  </si>
  <si>
    <t>Doc</t>
  </si>
  <si>
    <t>b1</t>
  </si>
  <si>
    <t>b2</t>
  </si>
  <si>
    <t>b3</t>
  </si>
  <si>
    <t>seg1</t>
  </si>
  <si>
    <t>seg2</t>
  </si>
  <si>
    <t>seg3</t>
  </si>
  <si>
    <t>seg4</t>
  </si>
  <si>
    <t>ck desc length</t>
  </si>
  <si>
    <t>spare1</t>
  </si>
  <si>
    <t>spare2</t>
  </si>
  <si>
    <t>spare3</t>
  </si>
  <si>
    <t>AE01</t>
  </si>
  <si>
    <t>LT Stock</t>
  </si>
  <si>
    <t>EF00</t>
  </si>
  <si>
    <t>FF00</t>
  </si>
  <si>
    <t>FM00</t>
  </si>
  <si>
    <t>PC00</t>
  </si>
  <si>
    <t>PS00</t>
  </si>
  <si>
    <t>SC00</t>
  </si>
  <si>
    <t>SG00</t>
  </si>
  <si>
    <t>SK00</t>
  </si>
  <si>
    <t>Totals</t>
  </si>
  <si>
    <t>Ck Total s/b zero</t>
  </si>
  <si>
    <t>cccc-ddddd-nnnn-aaaa</t>
  </si>
  <si>
    <t>&lt;&lt;&lt; formulas for using FULL ACCT</t>
  </si>
  <si>
    <t>Recl YE Excess ADIT</t>
  </si>
  <si>
    <t>ADIT Excs Def LT Stock-Recl CU NR Tx Exp</t>
  </si>
  <si>
    <t>8500</t>
  </si>
  <si>
    <t>4101</t>
  </si>
  <si>
    <t>NonReg</t>
  </si>
  <si>
    <t>03/31/2018 Balance</t>
  </si>
  <si>
    <t>NetAdjust to LT Bonus</t>
  </si>
  <si>
    <t>4/13/2018 2:01:56 PM</t>
  </si>
  <si>
    <t>2018 Q1 Provision, FT - Sub Con</t>
  </si>
  <si>
    <t>XX14</t>
  </si>
  <si>
    <t>TOTAL</t>
  </si>
  <si>
    <t>FPU Fort Meade</t>
  </si>
  <si>
    <t>Adj FT</t>
  </si>
  <si>
    <t>GL</t>
  </si>
  <si>
    <t>Sum of Current Activity</t>
  </si>
  <si>
    <t>Ft. Meade</t>
  </si>
  <si>
    <t>Summary Trial</t>
  </si>
  <si>
    <t>March 31, 2018</t>
  </si>
  <si>
    <t>Beg Bal</t>
  </si>
  <si>
    <t>End Bal</t>
  </si>
  <si>
    <t>Acct</t>
  </si>
  <si>
    <t>Descrip</t>
  </si>
  <si>
    <t>01/01/18</t>
  </si>
  <si>
    <t>DB</t>
  </si>
  <si>
    <t>CR</t>
  </si>
  <si>
    <t>03/31/18</t>
  </si>
  <si>
    <t>Summary Info -- presented as Debit (Credit):</t>
  </si>
  <si>
    <t>Total Assets (excl ARC)</t>
  </si>
  <si>
    <t>Total Capitalization</t>
  </si>
  <si>
    <t>Total Liabilities (incl ARC)</t>
  </si>
  <si>
    <t>Balance Sheet out of balance</t>
  </si>
  <si>
    <t>Gross Margin</t>
  </si>
  <si>
    <t>EBIT</t>
  </si>
  <si>
    <t>Other (Income) Expense [excl Tax]</t>
  </si>
  <si>
    <t>Interest</t>
  </si>
  <si>
    <t>Taxes</t>
  </si>
  <si>
    <t>Net (Income) Loss</t>
  </si>
  <si>
    <t>P&amp;L out of balance</t>
  </si>
  <si>
    <t>Plant</t>
  </si>
  <si>
    <t>1010</t>
  </si>
  <si>
    <t>Plant in Service</t>
  </si>
  <si>
    <t>1070</t>
  </si>
  <si>
    <t>CWIP</t>
  </si>
  <si>
    <t>107A</t>
  </si>
  <si>
    <t>CWIP Accruals</t>
  </si>
  <si>
    <t>107G</t>
  </si>
  <si>
    <t>CWIP Accruals - GRIP Only</t>
  </si>
  <si>
    <t>1080</t>
  </si>
  <si>
    <t>Accumulated Depreciation</t>
  </si>
  <si>
    <t>1089</t>
  </si>
  <si>
    <t>RWIP</t>
  </si>
  <si>
    <t>108A</t>
  </si>
  <si>
    <t>RWIP Accruals</t>
  </si>
  <si>
    <t>108G</t>
  </si>
  <si>
    <t>RWIP Accruals - GRIP Only</t>
  </si>
  <si>
    <t>-</t>
  </si>
  <si>
    <t>Net plant (excluding ARC)</t>
  </si>
  <si>
    <t>108S</t>
  </si>
  <si>
    <t>Accumulated Negative Salvage Value</t>
  </si>
  <si>
    <t>Net plant (including ARC)</t>
  </si>
  <si>
    <t>AR</t>
  </si>
  <si>
    <t>1220</t>
  </si>
  <si>
    <t>Accounts Receivable</t>
  </si>
  <si>
    <t>1225</t>
  </si>
  <si>
    <t>Provision for Bad Debts</t>
  </si>
  <si>
    <t>1275</t>
  </si>
  <si>
    <t>Accounts Receivable Unbilled Revenue - Margin</t>
  </si>
  <si>
    <t>1276</t>
  </si>
  <si>
    <t>Accounts Receivable Unbilled Revenue - Fuel Costs</t>
  </si>
  <si>
    <t>12CR</t>
  </si>
  <si>
    <t>Accounts Receivable Credits</t>
  </si>
  <si>
    <t>Total AR</t>
  </si>
  <si>
    <t>IC/IO</t>
  </si>
  <si>
    <t>1310</t>
  </si>
  <si>
    <t>IC with Delmarva Natural Gas</t>
  </si>
  <si>
    <t>1330</t>
  </si>
  <si>
    <t>IC with Florida</t>
  </si>
  <si>
    <t>13CF</t>
  </si>
  <si>
    <t>IC with Central Florida Gas</t>
  </si>
  <si>
    <t>13CU</t>
  </si>
  <si>
    <t>IC with CU</t>
  </si>
  <si>
    <t>13FC</t>
  </si>
  <si>
    <t>IC with FPU Corporate/Common (FC)</t>
  </si>
  <si>
    <t>13FN</t>
  </si>
  <si>
    <t>IC with FPU Natural Gas (FN)</t>
  </si>
  <si>
    <t>Total IC/IO</t>
  </si>
  <si>
    <t>Other Inventory</t>
  </si>
  <si>
    <t>1431</t>
  </si>
  <si>
    <t>Construction/Service Inventory</t>
  </si>
  <si>
    <t>Total Other Inventory</t>
  </si>
  <si>
    <t>Prepaids &amp; Other Current Assets</t>
  </si>
  <si>
    <t>1510</t>
  </si>
  <si>
    <t>Prepaid Insurance</t>
  </si>
  <si>
    <t>Total Prepaids &amp; Other Current Assets</t>
  </si>
  <si>
    <t>Regulatory Assets (Current)</t>
  </si>
  <si>
    <t>16PG</t>
  </si>
  <si>
    <t>Unrecovered PGC-DB CLR</t>
  </si>
  <si>
    <t>Total Regulatory Assets (Current)</t>
  </si>
  <si>
    <t>Other Regulatory Assets</t>
  </si>
  <si>
    <t>1799</t>
  </si>
  <si>
    <t>Regulatory Asset</t>
  </si>
  <si>
    <t>Total Other Regulatory Assets</t>
  </si>
  <si>
    <t>Goodwill</t>
  </si>
  <si>
    <t>1810</t>
  </si>
  <si>
    <t>Total Goodwill</t>
  </si>
  <si>
    <t>AP</t>
  </si>
  <si>
    <t>2100</t>
  </si>
  <si>
    <t>AP Hand Accrual</t>
  </si>
  <si>
    <t>Total AP</t>
  </si>
  <si>
    <t>Customer Deposits &amp; Refunds</t>
  </si>
  <si>
    <t>2210</t>
  </si>
  <si>
    <t>Customer Deposits</t>
  </si>
  <si>
    <t>Total Customer Deposits &amp; Refunds</t>
  </si>
  <si>
    <t>Accrued Interest</t>
  </si>
  <si>
    <t>2330</t>
  </si>
  <si>
    <t>Accrued Interest on Customer Deposits</t>
  </si>
  <si>
    <t>Total Accrued Interest</t>
  </si>
  <si>
    <t>Income Tax Liability</t>
  </si>
  <si>
    <t>2420</t>
  </si>
  <si>
    <t>Income Tax Liability-Federal</t>
  </si>
  <si>
    <t>24FL</t>
  </si>
  <si>
    <t>Income Tax Liability-FL</t>
  </si>
  <si>
    <t>Total Income Tax Liability</t>
  </si>
  <si>
    <t>ADIT</t>
  </si>
  <si>
    <t>ADIT Amortization</t>
  </si>
  <si>
    <t>ADIT Bad Debts</t>
  </si>
  <si>
    <t>ADIT Long-term Bonus</t>
  </si>
  <si>
    <t>ADIT Conservation</t>
  </si>
  <si>
    <t>ADIT Depreciation</t>
  </si>
  <si>
    <t>ADIT Insurance Deductibles</t>
  </si>
  <si>
    <t>ADIT PGC</t>
  </si>
  <si>
    <t>ADIT Repairs</t>
  </si>
  <si>
    <t>ADIT Rabbi Trust</t>
  </si>
  <si>
    <t>ADIT Self Insurance</t>
  </si>
  <si>
    <t>ADIT SERP</t>
  </si>
  <si>
    <t>ADIT Tax Rate Change</t>
  </si>
  <si>
    <t>Total ADIT</t>
  </si>
  <si>
    <t>Regulatory Liab (Current)</t>
  </si>
  <si>
    <t>2600</t>
  </si>
  <si>
    <t>Conservation Cost Recovery Liability</t>
  </si>
  <si>
    <t>2605</t>
  </si>
  <si>
    <t>(Over)/Under Collections GRIP</t>
  </si>
  <si>
    <t>Total Regulatory Liab (Current)</t>
  </si>
  <si>
    <t>Accrued Compensation</t>
  </si>
  <si>
    <t>2714</t>
  </si>
  <si>
    <t>Accrued Bonus</t>
  </si>
  <si>
    <t>Total Accrued Compensation</t>
  </si>
  <si>
    <t>Other Accrued Liab (current)</t>
  </si>
  <si>
    <t>2781</t>
  </si>
  <si>
    <t>Property Taxes</t>
  </si>
  <si>
    <t>2782</t>
  </si>
  <si>
    <t>Franchise Tax</t>
  </si>
  <si>
    <t>2785</t>
  </si>
  <si>
    <t>Accrued State Regulatory Tax</t>
  </si>
  <si>
    <t>2788</t>
  </si>
  <si>
    <t>Accrued Gross Receipts Tax</t>
  </si>
  <si>
    <t>2789</t>
  </si>
  <si>
    <t>Accrued Utility Tax</t>
  </si>
  <si>
    <t>27FL</t>
  </si>
  <si>
    <t>FL Taxes Other</t>
  </si>
  <si>
    <t>Total Other Accrued Liab (current)</t>
  </si>
  <si>
    <t>Regulatory Liab (Non-Current)</t>
  </si>
  <si>
    <t>Regulatory Liability-Tax Rate Change</t>
  </si>
  <si>
    <t>Total Regulatory Liab (Non-Current)</t>
  </si>
  <si>
    <t>Other Pension &amp; Benefit Costs</t>
  </si>
  <si>
    <t>2930</t>
  </si>
  <si>
    <t>Deferred Compensation Liability-SERP</t>
  </si>
  <si>
    <t>Total Other Pension &amp; Benefit Costs</t>
  </si>
  <si>
    <t>Stockholders' Equity</t>
  </si>
  <si>
    <t>3210</t>
  </si>
  <si>
    <t>Stock-based Compensation</t>
  </si>
  <si>
    <t>3400</t>
  </si>
  <si>
    <t>Retained Earnings (Auto)</t>
  </si>
  <si>
    <t>3610</t>
  </si>
  <si>
    <t>Employer Stock (Rabbi Trust)</t>
  </si>
  <si>
    <t>Total Stockholders' Equity</t>
  </si>
  <si>
    <t>Revenue</t>
  </si>
  <si>
    <t xml:space="preserve">  undefined</t>
  </si>
  <si>
    <t>4010</t>
  </si>
  <si>
    <t>Fuel</t>
  </si>
  <si>
    <t>4011</t>
  </si>
  <si>
    <t>Other Fuel</t>
  </si>
  <si>
    <t>4015</t>
  </si>
  <si>
    <t>Base</t>
  </si>
  <si>
    <t>4020</t>
  </si>
  <si>
    <t>4025</t>
  </si>
  <si>
    <t>Gross Receipts Tax</t>
  </si>
  <si>
    <t xml:space="preserve">  Total undefined</t>
  </si>
  <si>
    <t xml:space="preserve">  Propane</t>
  </si>
  <si>
    <t xml:space="preserve">  Total Propane</t>
  </si>
  <si>
    <t xml:space="preserve">  Misc Revenue</t>
  </si>
  <si>
    <t>4952</t>
  </si>
  <si>
    <t xml:space="preserve">  Unbilled Revenue</t>
  </si>
  <si>
    <t>4953</t>
  </si>
  <si>
    <t xml:space="preserve">  Conservation Revenue</t>
  </si>
  <si>
    <t>4999</t>
  </si>
  <si>
    <t xml:space="preserve">  Miscellaneous Revenue</t>
  </si>
  <si>
    <t>499A</t>
  </si>
  <si>
    <t xml:space="preserve">  Allowances &amp; Adjustments</t>
  </si>
  <si>
    <t>499B</t>
  </si>
  <si>
    <t xml:space="preserve">  Bill Collection Charge</t>
  </si>
  <si>
    <t>499G</t>
  </si>
  <si>
    <t xml:space="preserve">  Change of Account Charge</t>
  </si>
  <si>
    <t>499P</t>
  </si>
  <si>
    <t xml:space="preserve">  Returned Payment Charge</t>
  </si>
  <si>
    <t>499R</t>
  </si>
  <si>
    <t xml:space="preserve">  Diconnect/Reconnect Charge</t>
  </si>
  <si>
    <t>499S</t>
  </si>
  <si>
    <t xml:space="preserve">  Seasonal Reconnection Charge</t>
  </si>
  <si>
    <t xml:space="preserve">  Total Misc Revenue</t>
  </si>
  <si>
    <t>Total Revenue</t>
  </si>
  <si>
    <t>COGS</t>
  </si>
  <si>
    <t xml:space="preserve">  Other Gas Costs</t>
  </si>
  <si>
    <t>5800</t>
  </si>
  <si>
    <t xml:space="preserve">  Cost of Gas</t>
  </si>
  <si>
    <t>5881</t>
  </si>
  <si>
    <t xml:space="preserve">  Franchise Tax</t>
  </si>
  <si>
    <t>5882</t>
  </si>
  <si>
    <t xml:space="preserve">  Gross Receipts/Utility Tax</t>
  </si>
  <si>
    <t>5883</t>
  </si>
  <si>
    <t xml:space="preserve">  PSC Assessment</t>
  </si>
  <si>
    <t xml:space="preserve">  Total Other Gas Costs</t>
  </si>
  <si>
    <t xml:space="preserve">  Misc</t>
  </si>
  <si>
    <t>5954</t>
  </si>
  <si>
    <t xml:space="preserve">  Conservation Recovery</t>
  </si>
  <si>
    <t xml:space="preserve">  Total Misc</t>
  </si>
  <si>
    <t>Total COGS</t>
  </si>
  <si>
    <t>Payroll</t>
  </si>
  <si>
    <t>6100</t>
  </si>
  <si>
    <t>Salaries &amp; Commissions</t>
  </si>
  <si>
    <t>6110</t>
  </si>
  <si>
    <t>Salaries</t>
  </si>
  <si>
    <t>6120</t>
  </si>
  <si>
    <t>Overtime/Comp Time/On Call</t>
  </si>
  <si>
    <t>6130</t>
  </si>
  <si>
    <t>Commissions &amp; Tips</t>
  </si>
  <si>
    <t>6140</t>
  </si>
  <si>
    <t>Bonus/Incentive Pay</t>
  </si>
  <si>
    <t>6141</t>
  </si>
  <si>
    <t>Short-term Cash Bonus</t>
  </si>
  <si>
    <t>6142</t>
  </si>
  <si>
    <t>Long-term Cash Bonus</t>
  </si>
  <si>
    <t>6143</t>
  </si>
  <si>
    <t>Stock Bonus</t>
  </si>
  <si>
    <t>6150</t>
  </si>
  <si>
    <t>Temporary Services</t>
  </si>
  <si>
    <t>Total Payroll</t>
  </si>
  <si>
    <t>Dept Expenses</t>
  </si>
  <si>
    <t>6200</t>
  </si>
  <si>
    <t>Department Expenses</t>
  </si>
  <si>
    <t>6210</t>
  </si>
  <si>
    <t>Lodging &amp; Travel</t>
  </si>
  <si>
    <t>6220</t>
  </si>
  <si>
    <t>Meals</t>
  </si>
  <si>
    <t>6230</t>
  </si>
  <si>
    <t>Seminars &amp; Training</t>
  </si>
  <si>
    <t>6240</t>
  </si>
  <si>
    <t>Cell Phones</t>
  </si>
  <si>
    <t>6250</t>
  </si>
  <si>
    <t>Uniforms</t>
  </si>
  <si>
    <t>6260</t>
  </si>
  <si>
    <t>Memberships &amp; Subscriptions</t>
  </si>
  <si>
    <t>6290</t>
  </si>
  <si>
    <t>Supplies/Misc Dept Expenses</t>
  </si>
  <si>
    <t>Total Dept Expenses</t>
  </si>
  <si>
    <t>Vehicle Expenses</t>
  </si>
  <si>
    <t>6300</t>
  </si>
  <si>
    <t>6310</t>
  </si>
  <si>
    <t>Vehicle Fuel</t>
  </si>
  <si>
    <t>6320</t>
  </si>
  <si>
    <t>Vehicle Depreciation</t>
  </si>
  <si>
    <t>6330</t>
  </si>
  <si>
    <t>Vehicle Insurance</t>
  </si>
  <si>
    <t>6390</t>
  </si>
  <si>
    <t>Other Vehicle Expenses</t>
  </si>
  <si>
    <t>Total Vehicle Expenses</t>
  </si>
  <si>
    <t>Health Benefits</t>
  </si>
  <si>
    <t>6400</t>
  </si>
  <si>
    <t>Health-related Benefits</t>
  </si>
  <si>
    <t>6410</t>
  </si>
  <si>
    <t>Workers Compensation</t>
  </si>
  <si>
    <t>6420</t>
  </si>
  <si>
    <t>Benefit Claims, Opt Out Cr, P/R W/H</t>
  </si>
  <si>
    <t>6425</t>
  </si>
  <si>
    <t>Benefit Withholding</t>
  </si>
  <si>
    <t>6430</t>
  </si>
  <si>
    <t>Benefit Administrative Fees</t>
  </si>
  <si>
    <t>6490</t>
  </si>
  <si>
    <t>Other Health-related Benefits</t>
  </si>
  <si>
    <t>Total Health Benefits</t>
  </si>
  <si>
    <t>Other Benefits</t>
  </si>
  <si>
    <t>6600</t>
  </si>
  <si>
    <t>6620</t>
  </si>
  <si>
    <t>401K Stock Match</t>
  </si>
  <si>
    <t>6630</t>
  </si>
  <si>
    <t>401K Cash Match</t>
  </si>
  <si>
    <t>6640</t>
  </si>
  <si>
    <t>401K SERP Match</t>
  </si>
  <si>
    <t>6670</t>
  </si>
  <si>
    <t>Tuition Reimbursement</t>
  </si>
  <si>
    <t>6690</t>
  </si>
  <si>
    <t>Total Other Benefits</t>
  </si>
  <si>
    <t>Other HR Costs</t>
  </si>
  <si>
    <t>6700</t>
  </si>
  <si>
    <t>Other HR Charges-Allocated</t>
  </si>
  <si>
    <t>Total Other HR Costs</t>
  </si>
  <si>
    <t>Co Event &amp; CHOICE</t>
  </si>
  <si>
    <t>6800</t>
  </si>
  <si>
    <t>Company Events &amp; CHOICE</t>
  </si>
  <si>
    <t>6810</t>
  </si>
  <si>
    <t>Company Event Expense</t>
  </si>
  <si>
    <t>6830</t>
  </si>
  <si>
    <t>CHOICE Meetings</t>
  </si>
  <si>
    <t>Total Co Event &amp; CHOICE</t>
  </si>
  <si>
    <t>Sales, Adv, &amp; Comm</t>
  </si>
  <si>
    <t>7000</t>
  </si>
  <si>
    <t>Communications</t>
  </si>
  <si>
    <t>7025</t>
  </si>
  <si>
    <t>Mandatory Advertising</t>
  </si>
  <si>
    <t>7090</t>
  </si>
  <si>
    <t>Other Communication Expenses</t>
  </si>
  <si>
    <t>Total Sales, Adv, &amp; Comm</t>
  </si>
  <si>
    <t>CR, Collections &amp; Cust Svc</t>
  </si>
  <si>
    <t>7110</t>
  </si>
  <si>
    <t>Coll. Agency &amp; Cr. Reports</t>
  </si>
  <si>
    <t>7120</t>
  </si>
  <si>
    <t>7190</t>
  </si>
  <si>
    <t>Other Customer Related Expenses</t>
  </si>
  <si>
    <t>Total CR, Collections &amp; Cust Svc</t>
  </si>
  <si>
    <t>Outside Services</t>
  </si>
  <si>
    <t>7200</t>
  </si>
  <si>
    <t>Outside Services &amp; Other</t>
  </si>
  <si>
    <t>7210</t>
  </si>
  <si>
    <t>Audit Fees</t>
  </si>
  <si>
    <t>7215</t>
  </si>
  <si>
    <t>Tax Preparation Fees</t>
  </si>
  <si>
    <t>7220</t>
  </si>
  <si>
    <t>Legal</t>
  </si>
  <si>
    <t>7230</t>
  </si>
  <si>
    <t>Consulting</t>
  </si>
  <si>
    <t>7250</t>
  </si>
  <si>
    <t>Service Contractor Costs</t>
  </si>
  <si>
    <t>7290</t>
  </si>
  <si>
    <t>Other Outside Services</t>
  </si>
  <si>
    <t>Fees &amp; Assessments</t>
  </si>
  <si>
    <t>7300</t>
  </si>
  <si>
    <t>7320</t>
  </si>
  <si>
    <t>Bank Fees</t>
  </si>
  <si>
    <t>7330</t>
  </si>
  <si>
    <t>Merchant Payment Fees</t>
  </si>
  <si>
    <t>7360</t>
  </si>
  <si>
    <t>Discounts</t>
  </si>
  <si>
    <t>Total Fees &amp; Assessments</t>
  </si>
  <si>
    <t>Investor Relations</t>
  </si>
  <si>
    <t>7400</t>
  </si>
  <si>
    <t>Investor Relations Expenses</t>
  </si>
  <si>
    <t>Total Investor Relations</t>
  </si>
  <si>
    <t>Insurance</t>
  </si>
  <si>
    <t>7500</t>
  </si>
  <si>
    <t>Insurance Allocation</t>
  </si>
  <si>
    <t>7510</t>
  </si>
  <si>
    <t>Property Insurance</t>
  </si>
  <si>
    <t>7521</t>
  </si>
  <si>
    <t>General Liability</t>
  </si>
  <si>
    <t>7522</t>
  </si>
  <si>
    <t>Excess Liability (Umbrella)</t>
  </si>
  <si>
    <t>7524</t>
  </si>
  <si>
    <t>D&amp;O Liability</t>
  </si>
  <si>
    <t>7525</t>
  </si>
  <si>
    <t>Employment Practices</t>
  </si>
  <si>
    <t>7526</t>
  </si>
  <si>
    <t>Fiduciary Liability</t>
  </si>
  <si>
    <t>7529</t>
  </si>
  <si>
    <t>Errors &amp; Omissions</t>
  </si>
  <si>
    <t>7540</t>
  </si>
  <si>
    <t>Broker Fees</t>
  </si>
  <si>
    <t>Total Insurance</t>
  </si>
  <si>
    <t>Safety</t>
  </si>
  <si>
    <t>7610</t>
  </si>
  <si>
    <t>Safety Meetings</t>
  </si>
  <si>
    <t>7620</t>
  </si>
  <si>
    <t>Safety Training</t>
  </si>
  <si>
    <t>7630</t>
  </si>
  <si>
    <t>Safety Equipment</t>
  </si>
  <si>
    <t>7690</t>
  </si>
  <si>
    <t>Other Safety Costs</t>
  </si>
  <si>
    <t>Total Safety</t>
  </si>
  <si>
    <t>Facil &amp; Other Op Exp</t>
  </si>
  <si>
    <t>7700</t>
  </si>
  <si>
    <t>Other Operating Expenses</t>
  </si>
  <si>
    <t>7710</t>
  </si>
  <si>
    <t>Rent-External</t>
  </si>
  <si>
    <t>7720</t>
  </si>
  <si>
    <t>Utilities-Telephone</t>
  </si>
  <si>
    <t>7730</t>
  </si>
  <si>
    <t>Utilities-Gas &amp; Elec</t>
  </si>
  <si>
    <t>7740</t>
  </si>
  <si>
    <t>Water, Sewer, Cleaning, Lawn</t>
  </si>
  <si>
    <t>7750</t>
  </si>
  <si>
    <t>Postage/Express Mail</t>
  </si>
  <si>
    <t>7775</t>
  </si>
  <si>
    <t>Software</t>
  </si>
  <si>
    <t>7785</t>
  </si>
  <si>
    <t>Other Depreciation</t>
  </si>
  <si>
    <t>7790</t>
  </si>
  <si>
    <t>Other Facilities Costs</t>
  </si>
  <si>
    <t>Total Facil &amp; Other Op Exp</t>
  </si>
  <si>
    <t>Maintenance</t>
  </si>
  <si>
    <t>7800</t>
  </si>
  <si>
    <t>Other Maintenance Expenses</t>
  </si>
  <si>
    <t>7810</t>
  </si>
  <si>
    <t>Equipment &amp; Hardware Maintenance</t>
  </si>
  <si>
    <t>7830</t>
  </si>
  <si>
    <t>Facilities Maintenance</t>
  </si>
  <si>
    <t>Total Maintenance</t>
  </si>
  <si>
    <t>7999</t>
  </si>
  <si>
    <t>O&amp;M Transfer</t>
  </si>
  <si>
    <t>8010</t>
  </si>
  <si>
    <t>Miscellaneous Service Revenue</t>
  </si>
  <si>
    <t>Depr &amp; Amort</t>
  </si>
  <si>
    <t>8110</t>
  </si>
  <si>
    <t>Total Depr &amp; Amort</t>
  </si>
  <si>
    <t>Tax Other than Income</t>
  </si>
  <si>
    <t>8200</t>
  </si>
  <si>
    <t>Taxes Other than Income</t>
  </si>
  <si>
    <t>8210</t>
  </si>
  <si>
    <t>Payroll Taxes</t>
  </si>
  <si>
    <t>8220</t>
  </si>
  <si>
    <t>8290</t>
  </si>
  <si>
    <t>Misc Taxes Other</t>
  </si>
  <si>
    <t>Total Tax Other than Income</t>
  </si>
  <si>
    <t>Op Inc Tax</t>
  </si>
  <si>
    <t>8310</t>
  </si>
  <si>
    <t>State Income Tax</t>
  </si>
  <si>
    <t>8320</t>
  </si>
  <si>
    <t>Federal Income Tax</t>
  </si>
  <si>
    <t>DIT Debit</t>
  </si>
  <si>
    <t>8600</t>
  </si>
  <si>
    <t>DIT Credit</t>
  </si>
  <si>
    <t>Total Op Inc Tax</t>
  </si>
  <si>
    <t>Interest Expense</t>
  </si>
  <si>
    <t>8710</t>
  </si>
  <si>
    <t>8720</t>
  </si>
  <si>
    <t>Interest on Short-term debt</t>
  </si>
  <si>
    <t>Total Interest Expense</t>
  </si>
  <si>
    <t>Non-Op Income</t>
  </si>
  <si>
    <t>9190</t>
  </si>
  <si>
    <t>Other Income</t>
  </si>
  <si>
    <t>Total Non-Op Income</t>
  </si>
  <si>
    <t>Non-Op Expense</t>
  </si>
  <si>
    <t>9292</t>
  </si>
  <si>
    <t>Pension</t>
  </si>
  <si>
    <t>Total Non-Op Expense</t>
  </si>
  <si>
    <t>Non-Op Tax &amp; ITC</t>
  </si>
  <si>
    <t>9320</t>
  </si>
  <si>
    <t>NonOp IT Federal</t>
  </si>
  <si>
    <t>9600</t>
  </si>
  <si>
    <t>NonOp DIT Credit</t>
  </si>
  <si>
    <t>Total Non-Op Tax &amp; ITC</t>
  </si>
  <si>
    <t>9999</t>
  </si>
  <si>
    <t>Income Summary-Net Income</t>
  </si>
  <si>
    <t>=</t>
  </si>
  <si>
    <t>CPK-ST_ALL</t>
  </si>
  <si>
    <t>YTD Sum Trial ALL</t>
  </si>
  <si>
    <t>04/11/18</t>
  </si>
  <si>
    <t>11:53 AM</t>
  </si>
  <si>
    <t>Account Code</t>
  </si>
  <si>
    <t>Organization</t>
  </si>
  <si>
    <t>Period End Date</t>
  </si>
  <si>
    <t>Period Activity</t>
  </si>
  <si>
    <t>CF00-00000-2520-2832</t>
  </si>
  <si>
    <t>CF00-00000-25BD-2831</t>
  </si>
  <si>
    <t>CF00-00000-25CN-2831</t>
  </si>
  <si>
    <t>CF00-00000-25DP-2822</t>
  </si>
  <si>
    <t>CF00-00000-25DP-2829</t>
  </si>
  <si>
    <t>CF00-00000-25DR-2831</t>
  </si>
  <si>
    <t>CF00-00000-25EN-2832</t>
  </si>
  <si>
    <t>CF00-00000-25FR-2831</t>
  </si>
  <si>
    <t>CF00-00000-25IA-2832</t>
  </si>
  <si>
    <t>CF00-00000-25IT-2550</t>
  </si>
  <si>
    <t>CF00-00000-25MK-2832</t>
  </si>
  <si>
    <t>CF00-00000-25OH-2832</t>
  </si>
  <si>
    <t>CF00-00000-25PG-2831</t>
  </si>
  <si>
    <t>CF00-00000-25PN-2832</t>
  </si>
  <si>
    <t>CF00-00000-25PR-2832</t>
  </si>
  <si>
    <t>CF00-00000-25RC-2832</t>
  </si>
  <si>
    <t>CF00-00000-25SI-2831</t>
  </si>
  <si>
    <t>CF00-00000-25SI-2832</t>
  </si>
  <si>
    <t>CF00-00000-25TC-2832</t>
  </si>
  <si>
    <t>CF00-00000-25UR-2831</t>
  </si>
  <si>
    <t>CF00-00000-25ID-2831</t>
  </si>
  <si>
    <t>CF00-00000-25AF-2829</t>
  </si>
  <si>
    <t>CF00-00000-25SD-2832</t>
  </si>
  <si>
    <t>FC00-00000-2500-2822</t>
  </si>
  <si>
    <t>FC00-00000-25DP-2822</t>
  </si>
  <si>
    <t>FE00-00000-25DP-2822</t>
  </si>
  <si>
    <t>FF00-00000-25DP-2822</t>
  </si>
  <si>
    <t>FN00-00000-25DP-2822</t>
  </si>
  <si>
    <t>FF41-00000-25BD-2831</t>
  </si>
  <si>
    <t>FF41</t>
  </si>
  <si>
    <t>FF43-00000-25BD-2831</t>
  </si>
  <si>
    <t>FF43</t>
  </si>
  <si>
    <t>FF45-00000-25BD-2831</t>
  </si>
  <si>
    <t>FF45</t>
  </si>
  <si>
    <t>FF41-00000-25VA-2831</t>
  </si>
  <si>
    <t>FF43-00000-25VA-2831</t>
  </si>
  <si>
    <t>FF45-00000-25VA-2831</t>
  </si>
  <si>
    <t>FF41-00000-25PN-2832</t>
  </si>
  <si>
    <t>FF43-00000-25PN-2832</t>
  </si>
  <si>
    <t>FF45-00000-25PN-2832</t>
  </si>
  <si>
    <t>FE44-00000-25IT-2550</t>
  </si>
  <si>
    <t>FE44</t>
  </si>
  <si>
    <t>FE45-00000-25IT-2550</t>
  </si>
  <si>
    <t>FE45</t>
  </si>
  <si>
    <t>FE44-00000-25BD-2831</t>
  </si>
  <si>
    <t>FE45-00000-25BD-2831</t>
  </si>
  <si>
    <t>FE44-00000-25CN-2831</t>
  </si>
  <si>
    <t>FE45-00000-25CN-2831</t>
  </si>
  <si>
    <t>FE44-00000-25VA-2831</t>
  </si>
  <si>
    <t>FE45-00000-25VA-2831</t>
  </si>
  <si>
    <t>FE44-00000-25PN-2832</t>
  </si>
  <si>
    <t>FE45-00000-25PN-2832</t>
  </si>
  <si>
    <t>FE44-00000-25RC-2832</t>
  </si>
  <si>
    <t>FE45-00000-25RC-2832</t>
  </si>
  <si>
    <t>FN41-00000-25IT-2550</t>
  </si>
  <si>
    <t>FN41</t>
  </si>
  <si>
    <t>FN43-00000-25IT-2550</t>
  </si>
  <si>
    <t>FN43</t>
  </si>
  <si>
    <t>FN41-00000-25BD-2831</t>
  </si>
  <si>
    <t>FN43-00000-25BD-2831</t>
  </si>
  <si>
    <t>FN41-00000-25CN-2831</t>
  </si>
  <si>
    <t>FN43-00000-25CN-2831</t>
  </si>
  <si>
    <t>FN41-00000-25VA-2831</t>
  </si>
  <si>
    <t>FN43-00000-25VA-2831</t>
  </si>
  <si>
    <t>FN41-00000-25PN-2832</t>
  </si>
  <si>
    <t>FN43-00000-25PN-2832</t>
  </si>
  <si>
    <t>FN41-00000-25RC-2832</t>
  </si>
  <si>
    <t>FE44-00000-25PG-2831</t>
  </si>
  <si>
    <t>FE45-00000-25PG-2831</t>
  </si>
  <si>
    <t>FE44-00000-25SI-2832</t>
  </si>
  <si>
    <t>FE45-00000-25SI-2832</t>
  </si>
  <si>
    <t>FE44-00000-25UR-2831</t>
  </si>
  <si>
    <t>FE45-00000-25UR-2831</t>
  </si>
  <si>
    <t>FF41-00000-2500-2832</t>
  </si>
  <si>
    <t>FF43-00000-2500-2832</t>
  </si>
  <si>
    <t>FF45-00000-2500-2832</t>
  </si>
  <si>
    <t>FF41-00000-25DP-2822</t>
  </si>
  <si>
    <t>FF43-00000-25DP-2822</t>
  </si>
  <si>
    <t>FF45-00000-25DP-2822</t>
  </si>
  <si>
    <t>FE44-00000-2500-2832</t>
  </si>
  <si>
    <t>FE45-00000-2500-2832</t>
  </si>
  <si>
    <t>FE44-00000-25DP-2822</t>
  </si>
  <si>
    <t>FE45-00000-25DP-2822</t>
  </si>
  <si>
    <t>FN41-00000-25UR-2831</t>
  </si>
  <si>
    <t>FN43-00000-25UR-2831</t>
  </si>
  <si>
    <t>FN41-00000-25SI-2832</t>
  </si>
  <si>
    <t>FN43-00000-25SI-2832</t>
  </si>
  <si>
    <t>FN41-00000-25EN-2832</t>
  </si>
  <si>
    <t>FN43-00000-25EN-2832</t>
  </si>
  <si>
    <t>FN41-00000-2500-2832</t>
  </si>
  <si>
    <t>FN43-00000-2500-2832</t>
  </si>
  <si>
    <t>FN41-00000-25DP-2822</t>
  </si>
  <si>
    <t>FN43-00000-25DP-2822</t>
  </si>
  <si>
    <t>FF41-00000-25AM-2832</t>
  </si>
  <si>
    <t>FF43-00000-25AM-2832</t>
  </si>
  <si>
    <t>FF45-00000-25AM-2832</t>
  </si>
  <si>
    <t>FE44-00000-25AA-2832</t>
  </si>
  <si>
    <t>FE45-00000-25AA-2832</t>
  </si>
  <si>
    <t>FN41-00000-25AA-2832</t>
  </si>
  <si>
    <t>FN43-00000-25AA-2832</t>
  </si>
  <si>
    <t>FF41-00000-25AA-2832</t>
  </si>
  <si>
    <t>FF43-00000-25AA-2832</t>
  </si>
  <si>
    <t>FF45-00000-25AA-2832</t>
  </si>
  <si>
    <t>FN41-00000-2500-2822</t>
  </si>
  <si>
    <t>FN43-00000-2500-2822</t>
  </si>
  <si>
    <t>FE44-00000-2500-2822</t>
  </si>
  <si>
    <t>FE45-00000-2500-2822</t>
  </si>
  <si>
    <t>FC00-00000-25AM-2832</t>
  </si>
  <si>
    <t>FE00-00000-25IT-2550</t>
  </si>
  <si>
    <t>FN00-00000-25IT-2550</t>
  </si>
  <si>
    <t>FM00-00000-25DP-2822</t>
  </si>
  <si>
    <t>FE00-00000-25PG-2831</t>
  </si>
  <si>
    <t>FN00-00000-25AM-2832</t>
  </si>
  <si>
    <t>FN00-00000-25OH-2832</t>
  </si>
  <si>
    <t>FN00-00000-25PG-2831</t>
  </si>
  <si>
    <t>FN00-00000-25RC-2832</t>
  </si>
  <si>
    <t>FN00-00000-25PN-2832</t>
  </si>
  <si>
    <t>FN00-00000-25VA-2832</t>
  </si>
  <si>
    <t>FN00-00000-2500-2832</t>
  </si>
  <si>
    <t>FE00-00000-25AM-2832</t>
  </si>
  <si>
    <t>FE00-00000-25OH-2832</t>
  </si>
  <si>
    <t>FE00-00000-25RC-2832</t>
  </si>
  <si>
    <t>FE00-00000-2500-2832</t>
  </si>
  <si>
    <t>FE00-00000-25SV-2832</t>
  </si>
  <si>
    <t>FE00-00000-25PN-2832</t>
  </si>
  <si>
    <t>FE00-00000-25VA-2831</t>
  </si>
  <si>
    <t>FF00-00000-25AM-2832</t>
  </si>
  <si>
    <t>FF00-00000-25OH-2832</t>
  </si>
  <si>
    <t>FF00-00000-25PN-2832</t>
  </si>
  <si>
    <t>FF00-00000-25VA-2832</t>
  </si>
  <si>
    <t>FE00-00000-25SV-2831</t>
  </si>
  <si>
    <t>FE00-00000-25EN-2832</t>
  </si>
  <si>
    <t>FN00-00000-25EN-2832</t>
  </si>
  <si>
    <t>FN00-00000-25SI-2831</t>
  </si>
  <si>
    <t>FN00-00000-25VA-2831</t>
  </si>
  <si>
    <t>FF00-00000-25VA-2831</t>
  </si>
  <si>
    <t>FN00-00000-25SV-2831</t>
  </si>
  <si>
    <t>FF00-00000-25SV-2831</t>
  </si>
  <si>
    <t>FF00-00000-2500-2832</t>
  </si>
  <si>
    <t>FF00-00000-25SD-2832</t>
  </si>
  <si>
    <t>FE00-00000-25SD-2832</t>
  </si>
  <si>
    <t>FN00-00000-25SD-2832</t>
  </si>
  <si>
    <t>FN43-00000-25SI-2831</t>
  </si>
  <si>
    <t>FN43-00000-25SV-2831</t>
  </si>
  <si>
    <t>FN41-00000-25PR-2832</t>
  </si>
  <si>
    <t>FN41-00000-25RD-2832</t>
  </si>
  <si>
    <t>FN41-00000-25SI-2831</t>
  </si>
  <si>
    <t>FN41-00000-25SV-2831</t>
  </si>
  <si>
    <t>FN41-00000-25WR-2832</t>
  </si>
  <si>
    <t>FN43-00000-25AM-2832</t>
  </si>
  <si>
    <t>FN43-00000-25PR-2832</t>
  </si>
  <si>
    <t>FN43-00000-25RD-2832</t>
  </si>
  <si>
    <t>FN43-00000-25DP-2829</t>
  </si>
  <si>
    <t>FF41-00000-25PR-2832</t>
  </si>
  <si>
    <t>FF43-00000-25PR-2832</t>
  </si>
  <si>
    <t>FF45-00000-25PR-2832</t>
  </si>
  <si>
    <t>FN41-00000-25AM-2832</t>
  </si>
  <si>
    <t>FN41-00000-25DP-2829</t>
  </si>
  <si>
    <t>FE45-00000-25RG-2832</t>
  </si>
  <si>
    <t>FE45-00000-25WR-2832</t>
  </si>
  <si>
    <t>FE45-00000-25SI-2831</t>
  </si>
  <si>
    <t>FE45-00000-25SV-2831</t>
  </si>
  <si>
    <t>FE44-00000-25SV-2831</t>
  </si>
  <si>
    <t>FE44-00000-25SI-2831</t>
  </si>
  <si>
    <t>FE44-00000-25WR-2832</t>
  </si>
  <si>
    <t>FE44-00000-25RG-2832</t>
  </si>
  <si>
    <t>FE44-00000-25RD-2832</t>
  </si>
  <si>
    <t>FE44-00000-25PR-2832</t>
  </si>
  <si>
    <t>FE44-00000-25DP-2829</t>
  </si>
  <si>
    <t>FE45-00000-25DP-2829</t>
  </si>
  <si>
    <t>FE45-00000-25PR-2832</t>
  </si>
  <si>
    <t>FE45-00000-25RD-2832</t>
  </si>
  <si>
    <t>FC00-00000-252L-2832</t>
  </si>
  <si>
    <t>CF00-00000-25DR-2832</t>
  </si>
  <si>
    <t>FC00-00000-25SL-2832</t>
  </si>
  <si>
    <t>CF00-00000-25MR-2831</t>
  </si>
  <si>
    <t>FC00-AA800-25PN-2832</t>
  </si>
  <si>
    <t>FC00-AA800-25PR-2832</t>
  </si>
  <si>
    <t>FM00-00000-25BD-2831</t>
  </si>
  <si>
    <t>FC00-00000-25BD-2831</t>
  </si>
  <si>
    <t>FE00-00000-25BD-2831</t>
  </si>
  <si>
    <t>FN00-00000-25BD-2831</t>
  </si>
  <si>
    <t>FF00-00000-25BD-2831</t>
  </si>
  <si>
    <t>FI00-00000-25DP-2822</t>
  </si>
  <si>
    <t>FI00-00000-25CN-2831</t>
  </si>
  <si>
    <t>FC00-00000-25RC-2832</t>
  </si>
  <si>
    <t>FE00-00000-25RG-2832</t>
  </si>
  <si>
    <t>FE00-00000-25WR-2832</t>
  </si>
  <si>
    <t>FN00-00000-25WR-2832</t>
  </si>
  <si>
    <t>FC00-00000-25WR-2832</t>
  </si>
  <si>
    <t>FC00-00000-25PG-2831</t>
  </si>
  <si>
    <t>FN00-00000-25CN-2831</t>
  </si>
  <si>
    <t>FE00-00000-25CN-2831</t>
  </si>
  <si>
    <t>FF00-00000-25MR-2831</t>
  </si>
  <si>
    <t>FC00-00000-25ID-2831</t>
  </si>
  <si>
    <t>FC00-00000-25SV-2831</t>
  </si>
  <si>
    <t>FC00-00000-25EN-2832</t>
  </si>
  <si>
    <t>FC00-00000-25RD-2832</t>
  </si>
  <si>
    <t>FC00-00000-25PN-2832</t>
  </si>
  <si>
    <t>FC00-00000-25PR-2832</t>
  </si>
  <si>
    <t>FC00-00000-25SI-2831</t>
  </si>
  <si>
    <t>FC00-00000-25VA-2831</t>
  </si>
  <si>
    <t>FN00-00000-25ID-2831</t>
  </si>
  <si>
    <t>FE00-00000-25ID-2831</t>
  </si>
  <si>
    <t>FF00-00000-25ID-2831</t>
  </si>
  <si>
    <t>FN00-00000-25RG-2832</t>
  </si>
  <si>
    <t>FN00-00000-25DP-2832</t>
  </si>
  <si>
    <t>CF00-00000-252L-2832</t>
  </si>
  <si>
    <t>FE00-00000-252L-2832</t>
  </si>
  <si>
    <t>FF00-00000-252L-2832</t>
  </si>
  <si>
    <t>FI00-00000-252L-2832</t>
  </si>
  <si>
    <t>FM00-00000-252L-2832</t>
  </si>
  <si>
    <t>FN00-00000-252L-2832</t>
  </si>
  <si>
    <t>FG00-00000-25BD-2831</t>
  </si>
  <si>
    <t>FG00</t>
  </si>
  <si>
    <t>FG00-00000-25DP-2822</t>
  </si>
  <si>
    <t>FG00-00000-25ID-2831</t>
  </si>
  <si>
    <t>FN00-00000-25MR-2831</t>
  </si>
  <si>
    <t>FN00-00000-25MC-2832</t>
  </si>
  <si>
    <t>FN00-00000-25AA-2832</t>
  </si>
  <si>
    <t>FI00-00000-25BD-2831</t>
  </si>
  <si>
    <t>FI00-00000-25ID-2831</t>
  </si>
  <si>
    <t>FS00-00000-25DP-2822</t>
  </si>
  <si>
    <t>FS00</t>
  </si>
  <si>
    <t>FE00-AA700-25RG-2832</t>
  </si>
  <si>
    <t>FN00-AA700-25RG-2832</t>
  </si>
  <si>
    <t>FE00-00000-25LT-2832</t>
  </si>
  <si>
    <t>CF00-00000-25BN-2832</t>
  </si>
  <si>
    <t>FC00-00000-25BN-2832</t>
  </si>
  <si>
    <t>FE00-00000-25BN-2831</t>
  </si>
  <si>
    <t>FF00-00000-25BN-2831</t>
  </si>
  <si>
    <t>FN00-00000-25BN-2831</t>
  </si>
  <si>
    <t>FN00-00000-25PC-2822</t>
  </si>
  <si>
    <t>CF00-00000-25GP-2821</t>
  </si>
  <si>
    <t>CF00-00000-25AM-2832</t>
  </si>
  <si>
    <t>FI00-00000-25SD-2832</t>
  </si>
  <si>
    <t>FI00-00000-25PG-2831</t>
  </si>
  <si>
    <t>FC00-XX900-25PR-2832</t>
  </si>
  <si>
    <t>FC00-XX900-25PN-2832</t>
  </si>
  <si>
    <t>FE00-XX900-25PN-2832</t>
  </si>
  <si>
    <t>FE00-XX900-25PR-2832</t>
  </si>
  <si>
    <t>FF00-XX900-25PR-2832</t>
  </si>
  <si>
    <t>FF00-XX900-25PN-2832</t>
  </si>
  <si>
    <t>FN00-XX900-25PN-2832</t>
  </si>
  <si>
    <t>FN00-XX900-25PR-2832</t>
  </si>
  <si>
    <t>FT00-00000-25SD-2832</t>
  </si>
  <si>
    <t>FM00-00000-25ID-2831</t>
  </si>
  <si>
    <t>CF00-00000-25BN-2831</t>
  </si>
  <si>
    <t>FI00-00000-25BN-2831</t>
  </si>
  <si>
    <t>FN00-00000-25GP-2821</t>
  </si>
  <si>
    <t>FC00-00000-25IT-2550</t>
  </si>
  <si>
    <t>FF00-00000-25IT-2550</t>
  </si>
  <si>
    <t>FI00-00000-25IT-2550</t>
  </si>
  <si>
    <t>FM00-00000-25IT-2550</t>
  </si>
  <si>
    <t>FT00-00000-25IT-2550</t>
  </si>
  <si>
    <t>CF00-00000-25RG-2832</t>
  </si>
  <si>
    <t>FF00-00000-25MR-2832</t>
  </si>
  <si>
    <t>FF00-00000-25MR-2382</t>
  </si>
  <si>
    <t>FE00-00000-25DP-2829</t>
  </si>
  <si>
    <t>FE00-00000-25SI-2831</t>
  </si>
  <si>
    <t>FM00-00000-25BN-2831</t>
  </si>
  <si>
    <t>CF00-00000-25SR-2832</t>
  </si>
  <si>
    <t>FF00-00000-25PR-2832</t>
  </si>
  <si>
    <t>FC00-00000-25BN-2831</t>
  </si>
  <si>
    <t>CF00-00000-25RE-2822</t>
  </si>
  <si>
    <t>FC00-00000-25RE-2822</t>
  </si>
  <si>
    <t>FE00-00000-25RE-2822</t>
  </si>
  <si>
    <t>FF00-00000-25RE-2822</t>
  </si>
  <si>
    <t>FI00-00000-25RE-2822</t>
  </si>
  <si>
    <t>FM00-00000-25RE-2822</t>
  </si>
  <si>
    <t>FN00-00000-25RE-2822</t>
  </si>
  <si>
    <t>CF00-00000-25SL-2832</t>
  </si>
  <si>
    <t>FI00-00000-25SL-2832</t>
  </si>
  <si>
    <t>FE00-00000-25SL-2832</t>
  </si>
  <si>
    <t>FM00-00000-25SL-2832</t>
  </si>
  <si>
    <t>FN00-00000-25SL-2832</t>
  </si>
  <si>
    <t>CF00-00000-2500-2822</t>
  </si>
  <si>
    <t>FE00-00000-2500-2822</t>
  </si>
  <si>
    <t>FF00-00000-2500-2822</t>
  </si>
  <si>
    <t>FI00-00000-2500-2822</t>
  </si>
  <si>
    <t>FM00-00000-2500-2822</t>
  </si>
  <si>
    <t>FN00-00000-2500-2822</t>
  </si>
  <si>
    <t>CF00-00000-25TX-2822</t>
  </si>
  <si>
    <t>FN00-00000-25TX-2822</t>
  </si>
  <si>
    <t>FI00-00000-25TX-2822</t>
  </si>
  <si>
    <t>FE00-00000-25TX-2822</t>
  </si>
  <si>
    <t>FC00-00000-25TX-2822</t>
  </si>
  <si>
    <t>CF00-AA700-25BN-2832</t>
  </si>
  <si>
    <t>FE00-AA700-25BN-2832</t>
  </si>
  <si>
    <t>FF00-AA700-25BN-2832</t>
  </si>
  <si>
    <t>FI00-AA700-25BN-2832</t>
  </si>
  <si>
    <t>FM00-AA700-25BN-2832</t>
  </si>
  <si>
    <t>FN00-AA700-25BN-2832</t>
  </si>
  <si>
    <t>CF00-AA700-25BN-2831</t>
  </si>
  <si>
    <t>FE00-AA700-25BN-2831</t>
  </si>
  <si>
    <t>FF00-AA700-25BN-2831</t>
  </si>
  <si>
    <t>FI00-AA700-25BN-2831</t>
  </si>
  <si>
    <t>FM00-AA700-25BN-2831</t>
  </si>
  <si>
    <t>FN00-AA700-25BN-2831</t>
  </si>
  <si>
    <t>CF00-AA700-25RT-2832</t>
  </si>
  <si>
    <t>FE00-AA700-25RT-2832</t>
  </si>
  <si>
    <t>FF00-AA700-25RT-2832</t>
  </si>
  <si>
    <t>FI00-AA700-25RT-2832</t>
  </si>
  <si>
    <t>FM00-AA700-25RT-2832</t>
  </si>
  <si>
    <t>FN00-AA700-25RT-2832</t>
  </si>
  <si>
    <t>FE00-AA700-25SR-2832</t>
  </si>
  <si>
    <t>FF00-AA700-25SR-2832</t>
  </si>
  <si>
    <t>FI00-AA700-25SR-2832</t>
  </si>
  <si>
    <t>FM00-AA700-25SR-2832</t>
  </si>
  <si>
    <t>FN00-AA700-25SR-2832</t>
  </si>
  <si>
    <t>CF00-AA700-25SR-2832</t>
  </si>
  <si>
    <t>CF00-00000-25TX-2832</t>
  </si>
  <si>
    <t>FE00-00000-25TX-2832</t>
  </si>
  <si>
    <t>FI00-00000-25TX-2832</t>
  </si>
  <si>
    <t>FN00-00000-25TX-2832</t>
  </si>
  <si>
    <t>UNPP</t>
  </si>
  <si>
    <t>P</t>
  </si>
  <si>
    <t>Q1 Entries</t>
  </si>
  <si>
    <t>FERC</t>
  </si>
  <si>
    <t>2017 TAX REFORM, FT00 Revised for 2018 Adjustments</t>
  </si>
  <si>
    <t>Repairs</t>
  </si>
  <si>
    <t>COR</t>
  </si>
  <si>
    <t>Adj</t>
  </si>
  <si>
    <t>Allocation of 25BN, 25RT, 25SR from Parent</t>
  </si>
  <si>
    <t>GU-35%</t>
  </si>
  <si>
    <t>Excess</t>
  </si>
  <si>
    <t>12/31/2017 Adj. Balance</t>
  </si>
  <si>
    <t>GU-21%</t>
  </si>
  <si>
    <t>-b-c</t>
  </si>
  <si>
    <t>SERP (Non-Current)</t>
  </si>
  <si>
    <t>25SR.02</t>
  </si>
  <si>
    <t>25BN-RT-SR Reclass</t>
  </si>
  <si>
    <t>ARAM ADJ</t>
  </si>
  <si>
    <t>Excess True Up</t>
  </si>
  <si>
    <t>Deferred Balances Report - Fed/State/FBOS (Reporting)</t>
  </si>
  <si>
    <t>Difference</t>
  </si>
  <si>
    <t>December 31, 2018</t>
  </si>
  <si>
    <t>12/31/18</t>
  </si>
  <si>
    <t>1500</t>
  </si>
  <si>
    <t>Prepaid Taxes</t>
  </si>
  <si>
    <t>1609</t>
  </si>
  <si>
    <t>GWIP Clearing</t>
  </si>
  <si>
    <t>2220</t>
  </si>
  <si>
    <t>Reserve for Refund</t>
  </si>
  <si>
    <t xml:space="preserve">  Fuel</t>
  </si>
  <si>
    <t xml:space="preserve">  Other Fuel</t>
  </si>
  <si>
    <t xml:space="preserve">  Base</t>
  </si>
  <si>
    <t xml:space="preserve">  Gross Receipts Tax</t>
  </si>
  <si>
    <t>6144</t>
  </si>
  <si>
    <t>Signing Bonus</t>
  </si>
  <si>
    <t>6149</t>
  </si>
  <si>
    <t>Other Bonuses</t>
  </si>
  <si>
    <t>6710</t>
  </si>
  <si>
    <t>Recruiting Costs</t>
  </si>
  <si>
    <t>6730</t>
  </si>
  <si>
    <t>Relocation Expenses</t>
  </si>
  <si>
    <t>7020</t>
  </si>
  <si>
    <t>Advertising</t>
  </si>
  <si>
    <t>7030</t>
  </si>
  <si>
    <t>Printing &amp; Printed Materials</t>
  </si>
  <si>
    <t>7523</t>
  </si>
  <si>
    <t>Comprehensive Crime</t>
  </si>
  <si>
    <t>7770</t>
  </si>
  <si>
    <t>Equipment &amp; Hardware</t>
  </si>
  <si>
    <t>8410</t>
  </si>
  <si>
    <t>State IT True up</t>
  </si>
  <si>
    <t>8420</t>
  </si>
  <si>
    <t>Federal IT True up</t>
  </si>
  <si>
    <t>8510</t>
  </si>
  <si>
    <t>DIT Debit True up</t>
  </si>
  <si>
    <t>8610</t>
  </si>
  <si>
    <t>DIT Credit True up</t>
  </si>
  <si>
    <t>9310</t>
  </si>
  <si>
    <t>NonOp IT State</t>
  </si>
  <si>
    <t>9500</t>
  </si>
  <si>
    <t>NonOp DIT Debit</t>
  </si>
  <si>
    <t>01/24/19</t>
  </si>
  <si>
    <t>11:21 AM</t>
  </si>
  <si>
    <t>Amortization/Reduction to Tax</t>
  </si>
  <si>
    <t>Gross-up</t>
  </si>
  <si>
    <t>Amortization/Reduction to Reg Liab.</t>
  </si>
  <si>
    <t>FT Combined ARAM Summary</t>
  </si>
  <si>
    <t>FT</t>
  </si>
  <si>
    <t>FT Total</t>
  </si>
  <si>
    <t>Rate - Fed 35%</t>
  </si>
  <si>
    <t>Rate - Fed 21%</t>
  </si>
  <si>
    <t>State Rate net of FBOS (35%)</t>
  </si>
  <si>
    <t>State Rate net of FBOS (21%)</t>
  </si>
  <si>
    <t>State Rate</t>
  </si>
  <si>
    <t>2018 Entries</t>
  </si>
  <si>
    <t>12/31/2018 Balance</t>
  </si>
  <si>
    <t>Additonal  Adjustments</t>
  </si>
  <si>
    <t>FC ADIT</t>
  </si>
  <si>
    <t>2017 TAX REFORM, FT00 Revised True Ups</t>
  </si>
  <si>
    <t>Amortization of Reg Liability related to 2017 Tax Reform</t>
  </si>
  <si>
    <t>Unprotected</t>
  </si>
  <si>
    <t>Deferred Tax Change</t>
  </si>
  <si>
    <t>Amoritziaion Period</t>
  </si>
  <si>
    <t>Annual Amoritization</t>
  </si>
  <si>
    <t>Monthly Amoritization</t>
  </si>
  <si>
    <t xml:space="preserve">Year </t>
  </si>
  <si>
    <t>cr</t>
  </si>
  <si>
    <t>dr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</si>
  <si>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</si>
  <si>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</si>
  <si>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</si>
  <si>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</si>
  <si>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</si>
  <si>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</si>
  <si>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</si>
  <si>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</si>
  <si>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</si>
  <si>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</si>
  <si>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</si>
  <si>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</si>
  <si>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2018 Amort</t>
  </si>
  <si>
    <t>Amortization of Reg Liabbility related to 2017 Tax Reform</t>
  </si>
  <si>
    <t>See ARAM Schedule</t>
  </si>
  <si>
    <t>Amortization of DTA related to 2017 Tax Reform</t>
  </si>
  <si>
    <t>Deferred</t>
  </si>
  <si>
    <t>2018 AMORT</t>
  </si>
  <si>
    <t>FT00-AA700-8120-4050</t>
  </si>
  <si>
    <t>FT00-AA700-8500-4101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</si>
</sst>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3" formatCode="_(* #,##0.00_);_(* \(#,##0.00\);_(* &quot;-&quot;??_);_(@_)"/>
    <numFmt numFmtId="164" formatCode="mm/dd/yyyy"/>
    <numFmt numFmtId="165" formatCode="#,##0.00;[Red]\-#,##0.00"/>
    <numFmt numFmtId="166" formatCode="_(* #,##0_);_(* \(#,##0\);_(* &quot;-&quot;??_);_(@_)"/>
    <numFmt numFmtId="167" formatCode="m/d/yy;@"/>
    <numFmt numFmtId="168" formatCode="#,###,##0.00;\(#,###,##0.00\)"/>
    <numFmt numFmtId="169" formatCode="&quot;$&quot;#,###,##0.00;\(&quot;$&quot;#,###,##0.00\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2"/>
      <name val="Arial"/>
      <family val="2"/>
    </font>
    <font>
      <i/>
      <sz val="10"/>
      <color indexed="12"/>
      <name val="Comic Sans MS"/>
      <family val="4"/>
    </font>
    <font>
      <sz val="10"/>
      <color indexed="12"/>
      <name val="Arial Black"/>
      <family val="2"/>
    </font>
    <font>
      <sz val="10"/>
      <color rgb="FF0000FF"/>
      <name val="Arial Black"/>
      <family val="2"/>
    </font>
    <font>
      <b/>
      <u/>
      <sz val="10"/>
      <name val="Arial Narrow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sz val="10"/>
      <color indexed="0"/>
      <name val="Arial"/>
    </font>
    <font>
      <sz val="2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8"/>
      <color rgb="FFFF0000"/>
      <name val="Arial"/>
      <family val="2"/>
    </font>
    <font>
      <sz val="9"/>
      <color rgb="FF24242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37" fontId="2" fillId="0" borderId="1" applyFont="0" applyFill="0" applyAlignment="0" applyProtection="0"/>
    <xf numFmtId="0" fontId="3" fillId="0" borderId="0" applyNumberFormat="0" applyFill="0" applyBorder="0" applyAlignment="0" applyProtection="0"/>
    <xf numFmtId="37" fontId="2" fillId="0" borderId="0" applyFont="0" applyFill="0" applyBorder="0" applyAlignment="0" applyProtection="0"/>
    <xf numFmtId="0" fontId="3" fillId="0" borderId="2" applyNumberFormat="0" applyFill="0" applyProtection="0">
      <alignment horizontal="center" wrapTex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 applyNumberFormat="0" applyFont="0" applyFill="0" applyBorder="0" applyProtection="0">
      <alignment horizontal="left" indent="1"/>
    </xf>
    <xf numFmtId="37" fontId="2" fillId="0" borderId="2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horizontal="center" wrapText="1"/>
    </xf>
    <xf numFmtId="0" fontId="22" fillId="0" borderId="0"/>
    <xf numFmtId="168" fontId="22" fillId="0" borderId="0"/>
    <xf numFmtId="0" fontId="29" fillId="0" borderId="0"/>
    <xf numFmtId="37" fontId="29" fillId="0" borderId="1" applyFont="0" applyFill="0" applyAlignment="0" applyProtection="0"/>
    <xf numFmtId="0" fontId="30" fillId="0" borderId="0" applyNumberFormat="0" applyFill="0" applyBorder="0" applyAlignment="0" applyProtection="0"/>
    <xf numFmtId="37" fontId="29" fillId="0" borderId="0" applyFont="0" applyFill="0" applyBorder="0" applyAlignment="0" applyProtection="0"/>
    <xf numFmtId="0" fontId="30" fillId="0" borderId="2" applyNumberFormat="0" applyFill="0" applyProtection="0">
      <alignment horizont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/>
    <xf numFmtId="37" fontId="29" fillId="0" borderId="1" applyFont="0" applyFill="0" applyAlignment="0" applyProtection="0"/>
    <xf numFmtId="37" fontId="29" fillId="0" borderId="0" applyFont="0" applyFill="0" applyBorder="0" applyAlignment="0" applyProtection="0"/>
    <xf numFmtId="0" fontId="33" fillId="0" borderId="0"/>
    <xf numFmtId="0" fontId="31" fillId="0" borderId="0" applyNumberFormat="0" applyFill="0" applyBorder="0" applyAlignment="0" applyProtection="0"/>
    <xf numFmtId="0" fontId="2" fillId="0" borderId="0"/>
  </cellStyleXfs>
  <cellXfs count="374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pivotButton="1"/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3"/>
    <xf numFmtId="0" fontId="3" fillId="0" borderId="2" xfId="5">
      <alignment horizontal="center" wrapText="1"/>
    </xf>
    <xf numFmtId="0" fontId="2" fillId="0" borderId="0" xfId="1" applyFont="1"/>
    <xf numFmtId="39" fontId="1" fillId="2" borderId="3" xfId="0" applyNumberFormat="1" applyFont="1" applyFill="1" applyBorder="1"/>
    <xf numFmtId="10" fontId="3" fillId="0" borderId="0" xfId="1" applyNumberFormat="1" applyFont="1" applyAlignment="1">
      <alignment horizontal="center"/>
    </xf>
    <xf numFmtId="0" fontId="2" fillId="0" borderId="0" xfId="1" applyFont="1"/>
    <xf numFmtId="10" fontId="2" fillId="0" borderId="0" xfId="1" applyNumberFormat="1" applyFont="1"/>
    <xf numFmtId="0" fontId="3" fillId="0" borderId="2" xfId="5" applyFont="1">
      <alignment horizontal="center" wrapText="1"/>
    </xf>
    <xf numFmtId="37" fontId="2" fillId="0" borderId="0" xfId="4" applyFont="1"/>
    <xf numFmtId="0" fontId="3" fillId="0" borderId="0" xfId="3" applyFont="1"/>
    <xf numFmtId="37" fontId="2" fillId="0" borderId="1" xfId="2" applyFont="1"/>
    <xf numFmtId="0" fontId="7" fillId="0" borderId="0" xfId="0" applyFont="1"/>
    <xf numFmtId="0" fontId="2" fillId="0" borderId="0" xfId="6" applyFont="1" applyAlignment="1">
      <alignment horizontal="left" wrapText="1"/>
    </xf>
    <xf numFmtId="0" fontId="7" fillId="0" borderId="0" xfId="0" applyFont="1" applyFill="1"/>
    <xf numFmtId="0" fontId="7" fillId="0" borderId="2" xfId="0" applyFont="1" applyBorder="1"/>
    <xf numFmtId="37" fontId="7" fillId="0" borderId="0" xfId="0" applyNumberFormat="1" applyFont="1"/>
    <xf numFmtId="166" fontId="7" fillId="0" borderId="0" xfId="8" applyNumberFormat="1" applyFont="1"/>
    <xf numFmtId="166" fontId="7" fillId="0" borderId="0" xfId="0" applyNumberFormat="1" applyFont="1"/>
    <xf numFmtId="166" fontId="2" fillId="0" borderId="0" xfId="8" applyNumberFormat="1" applyFont="1"/>
    <xf numFmtId="37" fontId="2" fillId="0" borderId="0" xfId="4" applyFont="1" applyFill="1"/>
    <xf numFmtId="37" fontId="7" fillId="0" borderId="4" xfId="0" applyNumberFormat="1" applyFont="1" applyBorder="1"/>
    <xf numFmtId="37" fontId="0" fillId="0" borderId="0" xfId="4" applyFont="1"/>
    <xf numFmtId="37" fontId="8" fillId="0" borderId="0" xfId="9" applyNumberFormat="1"/>
    <xf numFmtId="37" fontId="0" fillId="0" borderId="1" xfId="2" applyFont="1"/>
    <xf numFmtId="0" fontId="3" fillId="0" borderId="0" xfId="5" applyFont="1" applyBorder="1">
      <alignment horizontal="center" wrapText="1"/>
    </xf>
    <xf numFmtId="37" fontId="2" fillId="0" borderId="0" xfId="1" applyNumberFormat="1" applyFont="1"/>
    <xf numFmtId="0" fontId="2" fillId="0" borderId="0" xfId="1" applyFont="1" applyAlignment="1"/>
    <xf numFmtId="0" fontId="9" fillId="0" borderId="0" xfId="7" applyFont="1" applyAlignment="1"/>
    <xf numFmtId="0" fontId="10" fillId="0" borderId="0" xfId="1" applyFont="1" applyAlignment="1">
      <alignment horizontal="center"/>
    </xf>
    <xf numFmtId="14" fontId="11" fillId="0" borderId="0" xfId="0" applyNumberFormat="1" applyFont="1"/>
    <xf numFmtId="0" fontId="10" fillId="0" borderId="0" xfId="0" applyFont="1"/>
    <xf numFmtId="43" fontId="7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/>
    <xf numFmtId="37" fontId="2" fillId="0" borderId="2" xfId="4" applyFont="1" applyBorder="1"/>
    <xf numFmtId="37" fontId="2" fillId="0" borderId="1" xfId="4" applyFont="1" applyBorder="1"/>
    <xf numFmtId="0" fontId="1" fillId="0" borderId="0" xfId="0" applyFont="1" applyBorder="1"/>
    <xf numFmtId="0" fontId="11" fillId="0" borderId="0" xfId="0" applyFont="1" applyFill="1" applyBorder="1"/>
    <xf numFmtId="37" fontId="10" fillId="0" borderId="0" xfId="0" applyNumberFormat="1" applyFont="1" applyAlignment="1">
      <alignment horizontal="center"/>
    </xf>
    <xf numFmtId="37" fontId="2" fillId="0" borderId="0" xfId="4" applyFont="1" applyBorder="1"/>
    <xf numFmtId="0" fontId="7" fillId="8" borderId="0" xfId="0" applyFont="1" applyFill="1"/>
    <xf numFmtId="0" fontId="0" fillId="8" borderId="0" xfId="0" applyFill="1" applyBorder="1"/>
    <xf numFmtId="37" fontId="2" fillId="8" borderId="0" xfId="4" applyFont="1" applyFill="1" applyBorder="1"/>
    <xf numFmtId="0" fontId="10" fillId="8" borderId="0" xfId="0" applyFont="1" applyFill="1" applyAlignment="1">
      <alignment horizontal="center"/>
    </xf>
    <xf numFmtId="0" fontId="8" fillId="0" borderId="0" xfId="9"/>
    <xf numFmtId="0" fontId="1" fillId="2" borderId="3" xfId="0" applyFont="1" applyFill="1" applyBorder="1" applyAlignment="1">
      <alignment horizontal="left"/>
    </xf>
    <xf numFmtId="37" fontId="0" fillId="4" borderId="1" xfId="2" applyFont="1" applyFill="1"/>
    <xf numFmtId="43" fontId="7" fillId="0" borderId="0" xfId="8" applyFont="1"/>
    <xf numFmtId="0" fontId="2" fillId="0" borderId="0" xfId="1" applyFont="1"/>
    <xf numFmtId="0" fontId="0" fillId="0" borderId="0" xfId="0" applyAlignment="1">
      <alignment horizontal="left" indent="1"/>
    </xf>
    <xf numFmtId="0" fontId="12" fillId="0" borderId="0" xfId="0" applyFont="1"/>
    <xf numFmtId="166" fontId="0" fillId="0" borderId="0" xfId="8" applyNumberFormat="1" applyFont="1"/>
    <xf numFmtId="166" fontId="0" fillId="0" borderId="0" xfId="0" applyNumberFormat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right" indent="1"/>
    </xf>
    <xf numFmtId="0" fontId="0" fillId="0" borderId="2" xfId="0" applyBorder="1"/>
    <xf numFmtId="166" fontId="0" fillId="0" borderId="2" xfId="0" applyNumberFormat="1" applyBorder="1"/>
    <xf numFmtId="166" fontId="1" fillId="0" borderId="2" xfId="8" applyNumberFormat="1" applyFont="1" applyBorder="1"/>
    <xf numFmtId="166" fontId="1" fillId="0" borderId="5" xfId="8" applyNumberFormat="1" applyFont="1" applyBorder="1"/>
    <xf numFmtId="166" fontId="0" fillId="0" borderId="2" xfId="8" applyNumberFormat="1" applyFont="1" applyBorder="1"/>
    <xf numFmtId="166" fontId="0" fillId="0" borderId="4" xfId="8" applyNumberFormat="1" applyFont="1" applyBorder="1"/>
    <xf numFmtId="37" fontId="0" fillId="0" borderId="0" xfId="0" applyNumberFormat="1"/>
    <xf numFmtId="9" fontId="3" fillId="0" borderId="2" xfId="11" applyFont="1" applyBorder="1" applyAlignment="1">
      <alignment horizontal="center"/>
    </xf>
    <xf numFmtId="166" fontId="1" fillId="0" borderId="0" xfId="8" applyNumberFormat="1" applyFont="1"/>
    <xf numFmtId="166" fontId="1" fillId="0" borderId="0" xfId="8" applyNumberFormat="1" applyFont="1" applyAlignment="1">
      <alignment horizontal="right"/>
    </xf>
    <xf numFmtId="0" fontId="2" fillId="0" borderId="0" xfId="1" applyFont="1"/>
    <xf numFmtId="0" fontId="8" fillId="0" borderId="0" xfId="9" applyFill="1" applyBorder="1" applyAlignment="1"/>
    <xf numFmtId="0" fontId="0" fillId="0" borderId="0" xfId="0"/>
    <xf numFmtId="0" fontId="0" fillId="4" borderId="0" xfId="0" applyFill="1"/>
    <xf numFmtId="0" fontId="0" fillId="6" borderId="0" xfId="0" applyFill="1"/>
    <xf numFmtId="0" fontId="0" fillId="5" borderId="0" xfId="0" applyFill="1"/>
    <xf numFmtId="37" fontId="2" fillId="0" borderId="0" xfId="4"/>
    <xf numFmtId="0" fontId="0" fillId="3" borderId="0" xfId="0" applyFill="1"/>
    <xf numFmtId="14" fontId="3" fillId="0" borderId="2" xfId="5" applyNumberFormat="1" applyFont="1">
      <alignment horizontal="center" wrapText="1"/>
    </xf>
    <xf numFmtId="0" fontId="2" fillId="0" borderId="0" xfId="1" applyFont="1"/>
    <xf numFmtId="0" fontId="0" fillId="0" borderId="0" xfId="0"/>
    <xf numFmtId="167" fontId="0" fillId="0" borderId="0" xfId="0" applyNumberFormat="1"/>
    <xf numFmtId="167" fontId="11" fillId="0" borderId="0" xfId="0" applyNumberFormat="1" applyFont="1"/>
    <xf numFmtId="37" fontId="0" fillId="0" borderId="0" xfId="2" applyFont="1" applyBorder="1"/>
    <xf numFmtId="0" fontId="0" fillId="0" borderId="0" xfId="0" applyFill="1" applyBorder="1"/>
    <xf numFmtId="37" fontId="0" fillId="0" borderId="0" xfId="4" applyFont="1" applyFill="1" applyBorder="1"/>
    <xf numFmtId="0" fontId="3" fillId="0" borderId="0" xfId="3" applyFill="1" applyBorder="1"/>
    <xf numFmtId="37" fontId="0" fillId="0" borderId="0" xfId="2" applyFont="1" applyFill="1" applyBorder="1"/>
    <xf numFmtId="37" fontId="0" fillId="0" borderId="0" xfId="0" applyNumberFormat="1" applyFill="1" applyBorder="1"/>
    <xf numFmtId="37" fontId="8" fillId="0" borderId="0" xfId="9" applyNumberFormat="1" applyBorder="1"/>
    <xf numFmtId="0" fontId="8" fillId="0" borderId="0" xfId="9" applyBorder="1"/>
    <xf numFmtId="37" fontId="8" fillId="4" borderId="0" xfId="9" applyNumberFormat="1" applyFill="1"/>
    <xf numFmtId="0" fontId="2" fillId="0" borderId="0" xfId="12">
      <alignment horizontal="left" indent="1"/>
    </xf>
    <xf numFmtId="37" fontId="2" fillId="0" borderId="0" xfId="13" applyBorder="1"/>
    <xf numFmtId="166" fontId="3" fillId="0" borderId="0" xfId="8" applyNumberFormat="1" applyFont="1" applyBorder="1" applyAlignment="1">
      <alignment horizontal="center" vertical="center" wrapText="1"/>
    </xf>
    <xf numFmtId="166" fontId="3" fillId="0" borderId="2" xfId="8" applyNumberFormat="1" applyFont="1" applyBorder="1" applyAlignment="1">
      <alignment horizontal="center" vertical="center" wrapText="1"/>
    </xf>
    <xf numFmtId="0" fontId="2" fillId="0" borderId="0" xfId="1" applyFont="1"/>
    <xf numFmtId="0" fontId="0" fillId="0" borderId="0" xfId="0"/>
    <xf numFmtId="0" fontId="13" fillId="0" borderId="0" xfId="14" applyFont="1" applyAlignment="1">
      <alignment horizontal="right"/>
    </xf>
    <xf numFmtId="0" fontId="14" fillId="0" borderId="0" xfId="14" applyNumberFormat="1" applyFont="1" applyAlignment="1">
      <alignment horizontal="left"/>
    </xf>
    <xf numFmtId="39" fontId="2" fillId="0" borderId="0" xfId="14" applyNumberFormat="1"/>
    <xf numFmtId="0" fontId="2" fillId="0" borderId="0" xfId="14"/>
    <xf numFmtId="0" fontId="15" fillId="0" borderId="2" xfId="15" applyFont="1" applyBorder="1"/>
    <xf numFmtId="39" fontId="2" fillId="0" borderId="6" xfId="14" applyNumberFormat="1" applyBorder="1"/>
    <xf numFmtId="49" fontId="2" fillId="0" borderId="5" xfId="14" applyNumberFormat="1" applyBorder="1"/>
    <xf numFmtId="49" fontId="2" fillId="0" borderId="7" xfId="14" applyNumberFormat="1" applyBorder="1"/>
    <xf numFmtId="49" fontId="2" fillId="0" borderId="0" xfId="14" applyNumberFormat="1"/>
    <xf numFmtId="0" fontId="15" fillId="0" borderId="5" xfId="14" applyFont="1" applyBorder="1"/>
    <xf numFmtId="39" fontId="2" fillId="0" borderId="8" xfId="14" applyNumberFormat="1" applyBorder="1" applyAlignment="1">
      <alignment horizontal="center"/>
    </xf>
    <xf numFmtId="0" fontId="14" fillId="0" borderId="0" xfId="14" applyFont="1" applyBorder="1"/>
    <xf numFmtId="39" fontId="2" fillId="0" borderId="9" xfId="15" applyNumberFormat="1" applyBorder="1"/>
    <xf numFmtId="37" fontId="2" fillId="0" borderId="5" xfId="15" applyNumberFormat="1" applyBorder="1"/>
    <xf numFmtId="49" fontId="2" fillId="0" borderId="7" xfId="15" applyNumberFormat="1" applyBorder="1"/>
    <xf numFmtId="0" fontId="2" fillId="0" borderId="6" xfId="14" applyBorder="1"/>
    <xf numFmtId="0" fontId="2" fillId="0" borderId="5" xfId="14" applyBorder="1"/>
    <xf numFmtId="0" fontId="2" fillId="0" borderId="7" xfId="14" applyBorder="1"/>
    <xf numFmtId="0" fontId="2" fillId="0" borderId="0" xfId="14" applyBorder="1"/>
    <xf numFmtId="14" fontId="14" fillId="0" borderId="0" xfId="14" applyNumberFormat="1" applyFont="1" applyAlignment="1">
      <alignment horizontal="left"/>
    </xf>
    <xf numFmtId="0" fontId="16" fillId="0" borderId="0" xfId="14" applyFont="1"/>
    <xf numFmtId="39" fontId="17" fillId="0" borderId="10" xfId="14" applyNumberFormat="1" applyFont="1" applyBorder="1"/>
    <xf numFmtId="49" fontId="2" fillId="0" borderId="11" xfId="14" applyNumberFormat="1" applyFont="1" applyBorder="1"/>
    <xf numFmtId="49" fontId="2" fillId="0" borderId="11" xfId="14" applyNumberFormat="1" applyBorder="1"/>
    <xf numFmtId="49" fontId="2" fillId="0" borderId="12" xfId="14" applyNumberFormat="1" applyBorder="1"/>
    <xf numFmtId="0" fontId="18" fillId="0" borderId="0" xfId="14" applyFont="1" applyAlignment="1">
      <alignment horizontal="center" wrapText="1"/>
    </xf>
    <xf numFmtId="39" fontId="18" fillId="0" borderId="0" xfId="14" applyNumberFormat="1" applyFont="1" applyAlignment="1">
      <alignment horizontal="center" wrapText="1"/>
    </xf>
    <xf numFmtId="0" fontId="18" fillId="0" borderId="0" xfId="14" applyFont="1" applyAlignment="1">
      <alignment horizontal="center"/>
    </xf>
    <xf numFmtId="49" fontId="18" fillId="0" borderId="0" xfId="14" applyNumberFormat="1" applyFont="1" applyAlignment="1">
      <alignment horizontal="center" wrapText="1"/>
    </xf>
    <xf numFmtId="0" fontId="2" fillId="0" borderId="13" xfId="1" applyFont="1" applyBorder="1"/>
    <xf numFmtId="39" fontId="2" fillId="0" borderId="13" xfId="1" applyNumberFormat="1" applyBorder="1"/>
    <xf numFmtId="0" fontId="2" fillId="0" borderId="13" xfId="1" applyBorder="1"/>
    <xf numFmtId="0" fontId="2" fillId="0" borderId="0" xfId="1"/>
    <xf numFmtId="39" fontId="19" fillId="0" borderId="0" xfId="1" applyNumberFormat="1" applyFont="1"/>
    <xf numFmtId="49" fontId="19" fillId="0" borderId="0" xfId="1" applyNumberFormat="1" applyFont="1" applyFill="1" applyAlignment="1">
      <alignment horizontal="center"/>
    </xf>
    <xf numFmtId="0" fontId="20" fillId="0" borderId="0" xfId="14" applyFont="1"/>
    <xf numFmtId="39" fontId="2" fillId="0" borderId="0" xfId="1" applyNumberFormat="1"/>
    <xf numFmtId="49" fontId="21" fillId="0" borderId="0" xfId="1" applyNumberFormat="1" applyFont="1" applyFill="1" applyAlignment="1">
      <alignment horizontal="center"/>
    </xf>
    <xf numFmtId="49" fontId="21" fillId="0" borderId="0" xfId="1" applyNumberFormat="1" applyFont="1" applyFill="1" applyAlignment="1"/>
    <xf numFmtId="39" fontId="3" fillId="0" borderId="0" xfId="1" applyNumberFormat="1" applyFont="1"/>
    <xf numFmtId="39" fontId="2" fillId="0" borderId="14" xfId="14" applyNumberFormat="1" applyBorder="1"/>
    <xf numFmtId="37" fontId="2" fillId="0" borderId="6" xfId="14" applyNumberFormat="1" applyBorder="1"/>
    <xf numFmtId="37" fontId="2" fillId="9" borderId="14" xfId="14" applyNumberFormat="1" applyFill="1" applyBorder="1"/>
    <xf numFmtId="0" fontId="19" fillId="0" borderId="0" xfId="15" applyFont="1"/>
    <xf numFmtId="49" fontId="2" fillId="0" borderId="0" xfId="15" applyNumberFormat="1"/>
    <xf numFmtId="0" fontId="2" fillId="0" borderId="0" xfId="15"/>
    <xf numFmtId="39" fontId="19" fillId="0" borderId="0" xfId="15" applyNumberFormat="1" applyFont="1"/>
    <xf numFmtId="0" fontId="2" fillId="0" borderId="0" xfId="15" applyNumberFormat="1" applyFont="1" applyFill="1" applyAlignment="1">
      <alignment horizontal="center"/>
    </xf>
    <xf numFmtId="0" fontId="2" fillId="0" borderId="13" xfId="16" applyFont="1" applyBorder="1"/>
    <xf numFmtId="39" fontId="2" fillId="0" borderId="13" xfId="16" applyNumberFormat="1" applyBorder="1"/>
    <xf numFmtId="0" fontId="2" fillId="0" borderId="13" xfId="16" applyBorder="1"/>
    <xf numFmtId="0" fontId="18" fillId="0" borderId="13" xfId="17" applyFont="1" applyBorder="1" applyAlignment="1">
      <alignment horizontal="center" wrapText="1"/>
    </xf>
    <xf numFmtId="0" fontId="2" fillId="0" borderId="0" xfId="16"/>
    <xf numFmtId="39" fontId="19" fillId="0" borderId="0" xfId="16" applyNumberFormat="1" applyFont="1"/>
    <xf numFmtId="49" fontId="19" fillId="0" borderId="0" xfId="16" applyNumberFormat="1" applyFont="1" applyFill="1" applyAlignment="1">
      <alignment horizontal="center"/>
    </xf>
    <xf numFmtId="0" fontId="2" fillId="0" borderId="0" xfId="16" applyFont="1"/>
    <xf numFmtId="39" fontId="2" fillId="0" borderId="0" xfId="16" applyNumberFormat="1"/>
    <xf numFmtId="0" fontId="18" fillId="0" borderId="0" xfId="17" applyFont="1" applyAlignment="1">
      <alignment horizontal="center" wrapText="1"/>
    </xf>
    <xf numFmtId="0" fontId="0" fillId="0" borderId="0" xfId="17" applyFont="1"/>
    <xf numFmtId="0" fontId="2" fillId="0" borderId="15" xfId="16" applyFont="1" applyBorder="1"/>
    <xf numFmtId="39" fontId="2" fillId="0" borderId="15" xfId="16" applyNumberFormat="1" applyBorder="1"/>
    <xf numFmtId="0" fontId="2" fillId="0" borderId="15" xfId="16" applyBorder="1"/>
    <xf numFmtId="0" fontId="2" fillId="0" borderId="15" xfId="17" applyBorder="1"/>
    <xf numFmtId="0" fontId="2" fillId="0" borderId="0" xfId="17"/>
    <xf numFmtId="167" fontId="3" fillId="0" borderId="0" xfId="5" applyNumberFormat="1" applyFont="1" applyBorder="1">
      <alignment horizontal="center" wrapText="1"/>
    </xf>
    <xf numFmtId="0" fontId="2" fillId="0" borderId="0" xfId="1" applyFont="1"/>
    <xf numFmtId="0" fontId="3" fillId="0" borderId="0" xfId="18">
      <alignment horizontal="center" wrapText="1"/>
    </xf>
    <xf numFmtId="0" fontId="2" fillId="0" borderId="0" xfId="1" quotePrefix="1"/>
    <xf numFmtId="37" fontId="0" fillId="0" borderId="2" xfId="4" applyFont="1" applyBorder="1"/>
    <xf numFmtId="0" fontId="2" fillId="0" borderId="0" xfId="1" applyAlignment="1">
      <alignment horizontal="left"/>
    </xf>
    <xf numFmtId="43" fontId="2" fillId="0" borderId="0" xfId="1" applyNumberFormat="1"/>
    <xf numFmtId="0" fontId="23" fillId="0" borderId="0" xfId="19" applyFont="1" applyAlignment="1">
      <alignment horizontal="left"/>
    </xf>
    <xf numFmtId="0" fontId="22" fillId="0" borderId="0" xfId="19"/>
    <xf numFmtId="168" fontId="22" fillId="0" borderId="0" xfId="20"/>
    <xf numFmtId="0" fontId="24" fillId="0" borderId="0" xfId="19" applyFont="1" applyAlignment="1">
      <alignment horizontal="left"/>
    </xf>
    <xf numFmtId="49" fontId="22" fillId="0" borderId="0" xfId="20" applyNumberFormat="1" applyAlignment="1">
      <alignment horizontal="center"/>
    </xf>
    <xf numFmtId="0" fontId="22" fillId="0" borderId="2" xfId="19" applyBorder="1" applyAlignment="1">
      <alignment horizontal="center"/>
    </xf>
    <xf numFmtId="49" fontId="22" fillId="0" borderId="2" xfId="20" applyNumberFormat="1" applyBorder="1" applyAlignment="1">
      <alignment horizontal="center"/>
    </xf>
    <xf numFmtId="0" fontId="25" fillId="0" borderId="0" xfId="19" applyFont="1"/>
    <xf numFmtId="0" fontId="25" fillId="0" borderId="0" xfId="19" applyFont="1" applyAlignment="1">
      <alignment horizontal="left"/>
    </xf>
    <xf numFmtId="168" fontId="25" fillId="0" borderId="0" xfId="20" applyFont="1"/>
    <xf numFmtId="0" fontId="22" fillId="0" borderId="0" xfId="19" applyAlignment="1">
      <alignment horizontal="left"/>
    </xf>
    <xf numFmtId="169" fontId="22" fillId="0" borderId="0" xfId="20" applyNumberFormat="1"/>
    <xf numFmtId="0" fontId="25" fillId="10" borderId="2" xfId="19" applyFont="1" applyFill="1" applyBorder="1"/>
    <xf numFmtId="0" fontId="25" fillId="10" borderId="2" xfId="19" applyFont="1" applyFill="1" applyBorder="1" applyAlignment="1">
      <alignment horizontal="left"/>
    </xf>
    <xf numFmtId="168" fontId="25" fillId="10" borderId="2" xfId="20" applyFont="1" applyFill="1" applyBorder="1"/>
    <xf numFmtId="0" fontId="25" fillId="10" borderId="4" xfId="19" applyFont="1" applyFill="1" applyBorder="1"/>
    <xf numFmtId="0" fontId="25" fillId="10" borderId="4" xfId="19" applyFont="1" applyFill="1" applyBorder="1" applyAlignment="1">
      <alignment horizontal="left"/>
    </xf>
    <xf numFmtId="168" fontId="25" fillId="10" borderId="4" xfId="20" applyFont="1" applyFill="1" applyBorder="1"/>
    <xf numFmtId="0" fontId="26" fillId="0" borderId="0" xfId="19" applyFont="1"/>
    <xf numFmtId="0" fontId="26" fillId="0" borderId="0" xfId="19" applyFont="1" applyAlignment="1">
      <alignment horizontal="left"/>
    </xf>
    <xf numFmtId="168" fontId="26" fillId="0" borderId="0" xfId="20" applyFont="1"/>
    <xf numFmtId="49" fontId="22" fillId="0" borderId="0" xfId="20" applyNumberFormat="1" applyAlignment="1">
      <alignment horizontal="fill"/>
    </xf>
    <xf numFmtId="0" fontId="25" fillId="10" borderId="0" xfId="19" applyFont="1" applyFill="1" applyAlignment="1">
      <alignment horizontal="left"/>
    </xf>
    <xf numFmtId="168" fontId="25" fillId="10" borderId="0" xfId="20" applyFont="1" applyFill="1"/>
    <xf numFmtId="0" fontId="25" fillId="10" borderId="0" xfId="19" applyFont="1" applyFill="1"/>
    <xf numFmtId="0" fontId="22" fillId="0" borderId="16" xfId="19" applyBorder="1"/>
    <xf numFmtId="168" fontId="22" fillId="0" borderId="16" xfId="20" applyBorder="1"/>
    <xf numFmtId="37" fontId="22" fillId="0" borderId="0" xfId="19" applyNumberFormat="1"/>
    <xf numFmtId="168" fontId="22" fillId="0" borderId="0" xfId="19" applyNumberFormat="1"/>
    <xf numFmtId="0" fontId="2" fillId="0" borderId="0" xfId="1" applyFont="1"/>
    <xf numFmtId="0" fontId="2" fillId="0" borderId="0" xfId="6" applyFont="1" applyAlignment="1">
      <alignment horizontal="left" wrapText="1"/>
    </xf>
    <xf numFmtId="0" fontId="0" fillId="0" borderId="0" xfId="0"/>
    <xf numFmtId="166" fontId="2" fillId="0" borderId="1" xfId="8" applyNumberFormat="1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0" fillId="0" borderId="0" xfId="0" applyFont="1" applyBorder="1"/>
    <xf numFmtId="0" fontId="7" fillId="0" borderId="0" xfId="0" applyFont="1" applyBorder="1"/>
    <xf numFmtId="0" fontId="7" fillId="0" borderId="21" xfId="0" applyFont="1" applyBorder="1"/>
    <xf numFmtId="0" fontId="3" fillId="0" borderId="2" xfId="5" applyFont="1" applyBorder="1">
      <alignment horizontal="center" wrapText="1"/>
    </xf>
    <xf numFmtId="9" fontId="3" fillId="0" borderId="2" xfId="5" applyNumberFormat="1" applyFont="1" applyBorder="1">
      <alignment horizontal="center" wrapText="1"/>
    </xf>
    <xf numFmtId="166" fontId="2" fillId="0" borderId="0" xfId="8" applyNumberFormat="1" applyFont="1" applyBorder="1"/>
    <xf numFmtId="166" fontId="7" fillId="0" borderId="0" xfId="0" applyNumberFormat="1" applyFont="1" applyBorder="1"/>
    <xf numFmtId="0" fontId="2" fillId="0" borderId="0" xfId="1" applyFont="1" applyBorder="1"/>
    <xf numFmtId="37" fontId="2" fillId="0" borderId="0" xfId="4" quotePrefix="1" applyFont="1" applyBorder="1"/>
    <xf numFmtId="0" fontId="7" fillId="0" borderId="22" xfId="0" applyFont="1" applyBorder="1"/>
    <xf numFmtId="0" fontId="7" fillId="0" borderId="23" xfId="0" applyFont="1" applyBorder="1"/>
    <xf numFmtId="0" fontId="2" fillId="4" borderId="0" xfId="1" applyFont="1" applyFill="1"/>
    <xf numFmtId="37" fontId="2" fillId="4" borderId="0" xfId="4" applyFill="1"/>
    <xf numFmtId="37" fontId="2" fillId="4" borderId="0" xfId="4" applyFont="1" applyFill="1"/>
    <xf numFmtId="166" fontId="2" fillId="4" borderId="0" xfId="8" applyNumberFormat="1" applyFont="1" applyFill="1"/>
    <xf numFmtId="166" fontId="7" fillId="4" borderId="0" xfId="0" applyNumberFormat="1" applyFont="1" applyFill="1"/>
    <xf numFmtId="0" fontId="10" fillId="0" borderId="0" xfId="0" quotePrefix="1" applyFont="1" applyAlignment="1">
      <alignment horizontal="center"/>
    </xf>
    <xf numFmtId="0" fontId="2" fillId="0" borderId="0" xfId="1" applyFont="1"/>
    <xf numFmtId="0" fontId="2" fillId="0" borderId="0" xfId="6" applyFont="1" applyAlignment="1">
      <alignment horizontal="left" wrapText="1"/>
    </xf>
    <xf numFmtId="0" fontId="0" fillId="0" borderId="0" xfId="0"/>
    <xf numFmtId="0" fontId="29" fillId="0" borderId="0" xfId="21"/>
    <xf numFmtId="37" fontId="29" fillId="0" borderId="1" xfId="22"/>
    <xf numFmtId="0" fontId="30" fillId="0" borderId="0" xfId="23"/>
    <xf numFmtId="37" fontId="29" fillId="0" borderId="0" xfId="24"/>
    <xf numFmtId="0" fontId="30" fillId="0" borderId="2" xfId="25">
      <alignment horizontal="center" wrapText="1"/>
    </xf>
    <xf numFmtId="0" fontId="29" fillId="0" borderId="0" xfId="28"/>
    <xf numFmtId="5" fontId="29" fillId="0" borderId="0" xfId="28" applyNumberFormat="1"/>
    <xf numFmtId="37" fontId="29" fillId="0" borderId="1" xfId="29"/>
    <xf numFmtId="0" fontId="29" fillId="0" borderId="0" xfId="28" applyAlignment="1">
      <alignment horizontal="right"/>
    </xf>
    <xf numFmtId="37" fontId="29" fillId="0" borderId="0" xfId="30"/>
    <xf numFmtId="37" fontId="29" fillId="0" borderId="0" xfId="28" applyNumberFormat="1"/>
    <xf numFmtId="0" fontId="23" fillId="0" borderId="0" xfId="31" applyFont="1" applyAlignment="1">
      <alignment horizontal="left"/>
    </xf>
    <xf numFmtId="0" fontId="33" fillId="0" borderId="0" xfId="31"/>
    <xf numFmtId="0" fontId="24" fillId="0" borderId="0" xfId="31" applyFont="1" applyAlignment="1">
      <alignment horizontal="left"/>
    </xf>
    <xf numFmtId="0" fontId="33" fillId="0" borderId="2" xfId="31" applyBorder="1" applyAlignment="1">
      <alignment horizontal="center"/>
    </xf>
    <xf numFmtId="0" fontId="25" fillId="0" borderId="0" xfId="31" applyFont="1"/>
    <xf numFmtId="0" fontId="25" fillId="0" borderId="0" xfId="31" applyFont="1" applyAlignment="1">
      <alignment horizontal="left"/>
    </xf>
    <xf numFmtId="0" fontId="33" fillId="0" borderId="0" xfId="31" applyAlignment="1">
      <alignment horizontal="left"/>
    </xf>
    <xf numFmtId="0" fontId="25" fillId="10" borderId="2" xfId="31" applyFont="1" applyFill="1" applyBorder="1"/>
    <xf numFmtId="0" fontId="25" fillId="10" borderId="2" xfId="31" applyFont="1" applyFill="1" applyBorder="1" applyAlignment="1">
      <alignment horizontal="left"/>
    </xf>
    <xf numFmtId="0" fontId="25" fillId="10" borderId="4" xfId="31" applyFont="1" applyFill="1" applyBorder="1"/>
    <xf numFmtId="0" fontId="25" fillId="10" borderId="4" xfId="31" applyFont="1" applyFill="1" applyBorder="1" applyAlignment="1">
      <alignment horizontal="left"/>
    </xf>
    <xf numFmtId="0" fontId="26" fillId="0" borderId="0" xfId="31" applyFont="1"/>
    <xf numFmtId="0" fontId="26" fillId="0" borderId="0" xfId="31" applyFont="1" applyAlignment="1">
      <alignment horizontal="left"/>
    </xf>
    <xf numFmtId="0" fontId="25" fillId="10" borderId="0" xfId="31" applyFont="1" applyFill="1" applyAlignment="1">
      <alignment horizontal="left"/>
    </xf>
    <xf numFmtId="0" fontId="25" fillId="10" borderId="0" xfId="31" applyFont="1" applyFill="1"/>
    <xf numFmtId="0" fontId="33" fillId="0" borderId="16" xfId="31" applyBorder="1"/>
    <xf numFmtId="0" fontId="34" fillId="0" borderId="0" xfId="0" applyFont="1"/>
    <xf numFmtId="0" fontId="0" fillId="0" borderId="24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1" fillId="12" borderId="0" xfId="0" applyFont="1" applyFill="1" applyAlignment="1">
      <alignment horizontal="right"/>
    </xf>
    <xf numFmtId="0" fontId="1" fillId="12" borderId="0" xfId="0" applyFont="1" applyFill="1"/>
    <xf numFmtId="1" fontId="1" fillId="12" borderId="0" xfId="0" applyNumberFormat="1" applyFont="1" applyFill="1"/>
    <xf numFmtId="166" fontId="1" fillId="0" borderId="14" xfId="8" applyNumberFormat="1" applyFont="1" applyBorder="1"/>
    <xf numFmtId="166" fontId="1" fillId="0" borderId="0" xfId="8" applyNumberFormat="1" applyFont="1" applyAlignment="1">
      <alignment horizontal="left"/>
    </xf>
    <xf numFmtId="0" fontId="9" fillId="5" borderId="0" xfId="7" applyFont="1" applyFill="1" applyAlignment="1"/>
    <xf numFmtId="0" fontId="2" fillId="5" borderId="0" xfId="1" applyFont="1" applyFill="1"/>
    <xf numFmtId="0" fontId="7" fillId="5" borderId="0" xfId="0" applyFont="1" applyFill="1"/>
    <xf numFmtId="0" fontId="2" fillId="5" borderId="0" xfId="1" applyFont="1" applyFill="1" applyAlignment="1"/>
    <xf numFmtId="0" fontId="7" fillId="5" borderId="0" xfId="0" applyFont="1" applyFill="1" applyBorder="1"/>
    <xf numFmtId="10" fontId="3" fillId="0" borderId="0" xfId="0" applyNumberFormat="1" applyFont="1" applyAlignment="1">
      <alignment horizontal="center"/>
    </xf>
    <xf numFmtId="0" fontId="35" fillId="0" borderId="0" xfId="0" applyFont="1" applyAlignment="1">
      <alignment vertical="center"/>
    </xf>
    <xf numFmtId="37" fontId="2" fillId="0" borderId="0" xfId="4" applyFont="1" applyAlignment="1">
      <alignment vertical="center"/>
    </xf>
    <xf numFmtId="166" fontId="7" fillId="0" borderId="0" xfId="8" applyNumberFormat="1" applyFont="1" applyBorder="1"/>
    <xf numFmtId="43" fontId="7" fillId="0" borderId="0" xfId="8" applyFont="1" applyBorder="1"/>
    <xf numFmtId="0" fontId="29" fillId="4" borderId="0" xfId="21" applyFill="1"/>
    <xf numFmtId="0" fontId="35" fillId="4" borderId="0" xfId="0" applyFont="1" applyFill="1" applyAlignment="1">
      <alignment vertical="center"/>
    </xf>
    <xf numFmtId="37" fontId="2" fillId="4" borderId="0" xfId="4" applyFont="1" applyFill="1" applyAlignment="1">
      <alignment vertical="center"/>
    </xf>
    <xf numFmtId="0" fontId="36" fillId="0" borderId="0" xfId="0" applyFont="1" applyFill="1" applyAlignment="1">
      <alignment vertical="center"/>
    </xf>
    <xf numFmtId="37" fontId="2" fillId="0" borderId="0" xfId="4" applyFont="1" applyFill="1" applyAlignment="1">
      <alignment vertical="center"/>
    </xf>
    <xf numFmtId="166" fontId="7" fillId="0" borderId="0" xfId="8" applyNumberFormat="1" applyFont="1" applyFill="1" applyBorder="1"/>
    <xf numFmtId="43" fontId="7" fillId="0" borderId="0" xfId="8" applyFont="1" applyFill="1" applyBorder="1"/>
    <xf numFmtId="0" fontId="0" fillId="0" borderId="0" xfId="0" applyFill="1"/>
    <xf numFmtId="0" fontId="7" fillId="4" borderId="0" xfId="0" applyFont="1" applyFill="1"/>
    <xf numFmtId="166" fontId="7" fillId="4" borderId="0" xfId="8" applyNumberFormat="1" applyFont="1" applyFill="1" applyBorder="1"/>
    <xf numFmtId="43" fontId="7" fillId="4" borderId="0" xfId="8" applyFont="1" applyFill="1" applyBorder="1"/>
    <xf numFmtId="166" fontId="2" fillId="0" borderId="0" xfId="8" applyNumberFormat="1" applyFont="1" applyFill="1"/>
    <xf numFmtId="0" fontId="37" fillId="4" borderId="0" xfId="0" applyFont="1" applyFill="1" applyAlignment="1">
      <alignment vertical="center" wrapText="1"/>
    </xf>
    <xf numFmtId="37" fontId="2" fillId="0" borderId="0" xfId="2" applyFont="1" applyBorder="1"/>
    <xf numFmtId="0" fontId="2" fillId="13" borderId="0" xfId="1" applyFont="1" applyFill="1"/>
    <xf numFmtId="37" fontId="2" fillId="13" borderId="0" xfId="1" applyNumberFormat="1" applyFont="1" applyFill="1"/>
    <xf numFmtId="0" fontId="7" fillId="13" borderId="0" xfId="0" applyFont="1" applyFill="1"/>
    <xf numFmtId="0" fontId="7" fillId="13" borderId="0" xfId="0" applyFont="1" applyFill="1" applyBorder="1"/>
    <xf numFmtId="0" fontId="0" fillId="13" borderId="0" xfId="0" applyFill="1"/>
    <xf numFmtId="37" fontId="2" fillId="13" borderId="0" xfId="4" applyFont="1" applyFill="1"/>
    <xf numFmtId="166" fontId="2" fillId="13" borderId="0" xfId="8" applyNumberFormat="1" applyFont="1" applyFill="1"/>
    <xf numFmtId="37" fontId="7" fillId="13" borderId="0" xfId="0" applyNumberFormat="1" applyFont="1" applyFill="1"/>
    <xf numFmtId="37" fontId="7" fillId="13" borderId="0" xfId="0" applyNumberFormat="1" applyFont="1" applyFill="1" applyBorder="1"/>
    <xf numFmtId="0" fontId="7" fillId="13" borderId="2" xfId="0" applyFont="1" applyFill="1" applyBorder="1"/>
    <xf numFmtId="43" fontId="7" fillId="13" borderId="0" xfId="8" applyFont="1" applyFill="1" applyBorder="1"/>
    <xf numFmtId="0" fontId="3" fillId="13" borderId="0" xfId="3" applyFont="1" applyFill="1"/>
    <xf numFmtId="37" fontId="7" fillId="13" borderId="4" xfId="0" applyNumberFormat="1" applyFont="1" applyFill="1" applyBorder="1"/>
    <xf numFmtId="0" fontId="10" fillId="13" borderId="0" xfId="0" applyFont="1" applyFill="1" applyAlignment="1">
      <alignment horizontal="center"/>
    </xf>
    <xf numFmtId="0" fontId="1" fillId="13" borderId="0" xfId="0" applyFont="1" applyFill="1" applyBorder="1"/>
    <xf numFmtId="0" fontId="0" fillId="13" borderId="0" xfId="0" applyFill="1" applyBorder="1"/>
    <xf numFmtId="166" fontId="7" fillId="13" borderId="0" xfId="8" applyNumberFormat="1" applyFont="1" applyFill="1"/>
    <xf numFmtId="37" fontId="10" fillId="13" borderId="0" xfId="0" applyNumberFormat="1" applyFont="1" applyFill="1" applyAlignment="1">
      <alignment horizontal="center"/>
    </xf>
    <xf numFmtId="0" fontId="11" fillId="13" borderId="0" xfId="0" applyFont="1" applyFill="1" applyBorder="1"/>
    <xf numFmtId="37" fontId="2" fillId="13" borderId="2" xfId="4" applyFont="1" applyFill="1" applyBorder="1"/>
    <xf numFmtId="37" fontId="2" fillId="13" borderId="1" xfId="4" applyFont="1" applyFill="1" applyBorder="1"/>
    <xf numFmtId="37" fontId="2" fillId="13" borderId="0" xfId="4" applyFont="1" applyFill="1" applyBorder="1"/>
    <xf numFmtId="37" fontId="7" fillId="0" borderId="0" xfId="0" applyNumberFormat="1" applyFont="1" applyBorder="1"/>
    <xf numFmtId="43" fontId="7" fillId="0" borderId="0" xfId="0" applyNumberFormat="1" applyFont="1" applyBorder="1"/>
    <xf numFmtId="166" fontId="7" fillId="0" borderId="0" xfId="0" quotePrefix="1" applyNumberFormat="1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29" fillId="0" borderId="0" xfId="21" applyAlignment="1"/>
    <xf numFmtId="0" fontId="32" fillId="0" borderId="0" xfId="27" applyAlignment="1"/>
    <xf numFmtId="0" fontId="31" fillId="0" borderId="0" xfId="26" applyAlignment="1"/>
    <xf numFmtId="0" fontId="31" fillId="0" borderId="0" xfId="32" applyAlignment="1">
      <alignment horizontal="center" wrapText="1"/>
    </xf>
    <xf numFmtId="0" fontId="35" fillId="0" borderId="0" xfId="0" applyFont="1" applyFill="1" applyAlignment="1">
      <alignment vertical="center"/>
    </xf>
    <xf numFmtId="0" fontId="29" fillId="0" borderId="0" xfId="28" applyFill="1"/>
    <xf numFmtId="0" fontId="37" fillId="0" borderId="0" xfId="0" applyFont="1" applyFill="1" applyAlignment="1">
      <alignment vertical="center" wrapText="1"/>
    </xf>
    <xf numFmtId="0" fontId="2" fillId="0" borderId="0" xfId="1" applyFont="1" applyFill="1"/>
    <xf numFmtId="0" fontId="0" fillId="0" borderId="0" xfId="0"/>
    <xf numFmtId="0" fontId="0" fillId="0" borderId="0" xfId="0" applyBorder="1" applyAlignment="1">
      <alignment horizontal="center" wrapText="1"/>
    </xf>
    <xf numFmtId="0" fontId="1" fillId="4" borderId="0" xfId="0" applyFont="1" applyFill="1" applyAlignment="1">
      <alignment horizontal="center"/>
    </xf>
    <xf numFmtId="5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8" applyNumberFormat="1" applyFont="1" applyBorder="1"/>
    <xf numFmtId="10" fontId="0" fillId="0" borderId="0" xfId="11" applyNumberFormat="1" applyFont="1"/>
    <xf numFmtId="43" fontId="0" fillId="0" borderId="0" xfId="8" applyNumberFormat="1" applyFont="1" applyBorder="1"/>
    <xf numFmtId="0" fontId="0" fillId="0" borderId="0" xfId="0" applyBorder="1" applyAlignment="1">
      <alignment horizontal="center"/>
    </xf>
    <xf numFmtId="38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5" fontId="0" fillId="0" borderId="0" xfId="0" applyNumberFormat="1" applyBorder="1"/>
    <xf numFmtId="0" fontId="1" fillId="0" borderId="0" xfId="0" applyFont="1" applyFill="1" applyBorder="1"/>
    <xf numFmtId="0" fontId="11" fillId="0" borderId="0" xfId="0" applyFont="1" applyBorder="1"/>
    <xf numFmtId="166" fontId="0" fillId="0" borderId="0" xfId="0" applyNumberFormat="1" applyBorder="1"/>
    <xf numFmtId="0" fontId="0" fillId="0" borderId="0" xfId="0" applyAlignment="1">
      <alignment horizontal="center"/>
    </xf>
    <xf numFmtId="166" fontId="0" fillId="4" borderId="0" xfId="8" applyNumberFormat="1" applyFont="1" applyFill="1"/>
    <xf numFmtId="5" fontId="0" fillId="4" borderId="0" xfId="0" applyNumberFormat="1" applyFill="1"/>
    <xf numFmtId="43" fontId="0" fillId="4" borderId="0" xfId="8" applyFont="1" applyFill="1"/>
    <xf numFmtId="5" fontId="0" fillId="0" borderId="0" xfId="0" applyNumberFormat="1"/>
    <xf numFmtId="0" fontId="0" fillId="0" borderId="25" xfId="0" applyBorder="1"/>
    <xf numFmtId="166" fontId="0" fillId="0" borderId="25" xfId="8" applyNumberFormat="1" applyFont="1" applyBorder="1"/>
    <xf numFmtId="5" fontId="0" fillId="0" borderId="25" xfId="0" applyNumberFormat="1" applyBorder="1"/>
    <xf numFmtId="5" fontId="0" fillId="0" borderId="0" xfId="0" applyNumberFormat="1" applyFill="1" applyBorder="1"/>
    <xf numFmtId="166" fontId="0" fillId="0" borderId="0" xfId="0" applyNumberFormat="1" applyBorder="1" applyAlignment="1">
      <alignment horizontal="center"/>
    </xf>
    <xf numFmtId="10" fontId="0" fillId="0" borderId="0" xfId="11" applyNumberFormat="1" applyFont="1" applyBorder="1"/>
    <xf numFmtId="4" fontId="38" fillId="0" borderId="0" xfId="0" applyNumberFormat="1" applyFont="1" applyBorder="1"/>
    <xf numFmtId="0" fontId="3" fillId="5" borderId="0" xfId="7" applyFont="1" applyFill="1" applyAlignment="1">
      <alignment horizontal="left" wrapText="1"/>
    </xf>
    <xf numFmtId="0" fontId="2" fillId="5" borderId="0" xfId="1" applyFont="1" applyFill="1"/>
    <xf numFmtId="0" fontId="2" fillId="5" borderId="0" xfId="6" applyFont="1" applyFill="1" applyAlignment="1">
      <alignment horizontal="left" wrapText="1"/>
    </xf>
    <xf numFmtId="0" fontId="27" fillId="5" borderId="0" xfId="6" applyFont="1" applyFill="1" applyAlignment="1">
      <alignment horizontal="left" wrapText="1"/>
    </xf>
    <xf numFmtId="0" fontId="11" fillId="5" borderId="0" xfId="0" applyFont="1" applyFill="1"/>
    <xf numFmtId="0" fontId="2" fillId="0" borderId="0" xfId="6" applyFont="1" applyAlignment="1">
      <alignment horizontal="left" wrapText="1"/>
    </xf>
    <xf numFmtId="0" fontId="2" fillId="0" borderId="0" xfId="1" applyFont="1"/>
    <xf numFmtId="0" fontId="10" fillId="7" borderId="0" xfId="1" applyFont="1" applyFill="1" applyAlignment="1">
      <alignment horizontal="center"/>
    </xf>
    <xf numFmtId="0" fontId="27" fillId="0" borderId="0" xfId="6" applyFont="1" applyAlignment="1">
      <alignment horizontal="left" wrapText="1"/>
    </xf>
    <xf numFmtId="0" fontId="11" fillId="0" borderId="0" xfId="0" applyFont="1"/>
    <xf numFmtId="0" fontId="3" fillId="0" borderId="0" xfId="7" applyFont="1" applyAlignment="1">
      <alignment horizontal="left" wrapText="1"/>
    </xf>
    <xf numFmtId="167" fontId="28" fillId="11" borderId="0" xfId="5" applyNumberFormat="1" applyFont="1" applyFill="1" applyBorder="1" applyAlignment="1">
      <alignment horizontal="center" vertical="center" wrapText="1"/>
    </xf>
    <xf numFmtId="167" fontId="28" fillId="3" borderId="0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/>
    <xf numFmtId="0" fontId="5" fillId="0" borderId="0" xfId="7" applyAlignment="1">
      <alignment horizontal="left" wrapText="1"/>
    </xf>
    <xf numFmtId="0" fontId="4" fillId="0" borderId="0" xfId="6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/>
  </cellXfs>
  <cellStyles count="34">
    <cellStyle name="ColumnHeader" xfId="5"/>
    <cellStyle name="ColumnHeader 2" xfId="25"/>
    <cellStyle name="Comma" xfId="8" builtinId="3"/>
    <cellStyle name="Comma 2" xfId="10"/>
    <cellStyle name="DetailIndented" xfId="12"/>
    <cellStyle name="DetailTotalNumber" xfId="13"/>
    <cellStyle name="FRxAmtStyle" xfId="20"/>
    <cellStyle name="Header" xfId="7"/>
    <cellStyle name="Header 2" xfId="27"/>
    <cellStyle name="Normal" xfId="0" builtinId="0"/>
    <cellStyle name="Normal 2" xfId="1"/>
    <cellStyle name="Normal 2 2" xfId="14"/>
    <cellStyle name="Normal 2 3" xfId="16"/>
    <cellStyle name="Normal 3" xfId="9"/>
    <cellStyle name="Normal 3 2" xfId="28"/>
    <cellStyle name="Normal 3 3" xfId="33"/>
    <cellStyle name="Normal 4" xfId="19"/>
    <cellStyle name="Normal 5" xfId="21"/>
    <cellStyle name="Normal 6" xfId="31"/>
    <cellStyle name="Normal_JE Template" xfId="17"/>
    <cellStyle name="Normal_voids_athena_0908" xfId="15"/>
    <cellStyle name="Percent" xfId="11" builtinId="5"/>
    <cellStyle name="SubHeader" xfId="6"/>
    <cellStyle name="SubHeader 2" xfId="26"/>
    <cellStyle name="SubHeader 3" xfId="32"/>
    <cellStyle name="TextNumber" xfId="4"/>
    <cellStyle name="TextNumber 2" xfId="24"/>
    <cellStyle name="TextNumber 3" xfId="30"/>
    <cellStyle name="TotalNumber" xfId="2"/>
    <cellStyle name="TotalNumber 2" xfId="22"/>
    <cellStyle name="TotalNumber 3" xfId="29"/>
    <cellStyle name="TotalText" xfId="3"/>
    <cellStyle name="TotalText 2" xfId="23"/>
    <cellStyle name="UnitHeader" xfId="18"/>
  </cellStyles>
  <dxfs count="11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externalLink" Target="externalLinks/externalLink5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theme" Target="theme/theme1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externalLink" Target="externalLinks/externalLink4.xml" Id="rId25" /><Relationship Type="http://schemas.openxmlformats.org/officeDocument/2006/relationships/pivotCacheDefinition" Target="pivotCache/pivotCacheDefinition3.xml" Id="rId33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externalLink" Target="externalLinks/externalLink8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externalLink" Target="externalLinks/externalLink3.xml" Id="rId24" /><Relationship Type="http://schemas.openxmlformats.org/officeDocument/2006/relationships/pivotCacheDefinition" Target="pivotCache/pivotCacheDefinition2.xml" Id="rId32" /><Relationship Type="http://schemas.openxmlformats.org/officeDocument/2006/relationships/calcChain" Target="calcChain.xml" Id="rId37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externalLink" Target="externalLinks/externalLink2.xml" Id="rId23" /><Relationship Type="http://schemas.openxmlformats.org/officeDocument/2006/relationships/externalLink" Target="externalLinks/externalLink7.xml" Id="rId28" /><Relationship Type="http://schemas.openxmlformats.org/officeDocument/2006/relationships/sharedStrings" Target="sharedStrings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pivotCacheDefinition" Target="pivotCache/pivotCacheDefinition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externalLink" Target="externalLinks/externalLink1.xml" Id="rId22" /><Relationship Type="http://schemas.openxmlformats.org/officeDocument/2006/relationships/externalLink" Target="externalLinks/externalLink6.xml" Id="rId27" /><Relationship Type="http://schemas.openxmlformats.org/officeDocument/2006/relationships/externalLink" Target="externalLinks/externalLink9.xml" Id="rId30" /><Relationship Type="http://schemas.openxmlformats.org/officeDocument/2006/relationships/styles" Target="styles.xml" Id="rId35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4\2014%20Provision\AC\AC_14TxAcc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3\2013%20Provision\FN\FN_13TxAccr1_Orig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.tdm.ey.net/Accounting/Plant%20-%20Capital/2002%20Budget/ESNG/2002%20ESNG%20Capital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.tdm.ey.net/Users/swollaston/AppData/Local/Microsoft/Windows/Temporary%20Internet%20Files/Content.Outlook/0IAZDB3L/FN41-sent%20Novemb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Corporate%20Accounting\MonthEnd\CU\2007\11-November\November07%20Ta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y"/>
      <sheetName val="MasterV"/>
      <sheetName val="CF - Vehicle Rec"/>
      <sheetName val="FC-Vehicles"/>
      <sheetName val="FE 45-Vehicle Rec"/>
      <sheetName val="FE44-Vehicle Rec"/>
      <sheetName val="41-Vehicle Rec"/>
      <sheetName val="FN43-Veh Rec"/>
      <sheetName val="FF41"/>
      <sheetName val="FF43"/>
      <sheetName val="FF45"/>
      <sheetName val="Access"/>
      <sheetName val="cross reference"/>
      <sheetName val="Roll Forwards"/>
      <sheetName val="Leslie-electric"/>
      <sheetName val="combined-Stephen"/>
      <sheetName val="Wendy"/>
      <sheetName val="Sheet1"/>
    </sheetNames>
    <sheetDataSet>
      <sheetData sheetId="0" refreshError="1"/>
      <sheetData sheetId="1" refreshError="1">
        <row r="1">
          <cell r="A1" t="str">
            <v>Unit #</v>
          </cell>
          <cell r="B1" t="str">
            <v>VIN</v>
          </cell>
          <cell r="C1" t="str">
            <v>Tag / Mo.</v>
          </cell>
          <cell r="D1" t="str">
            <v>Year</v>
          </cell>
          <cell r="E1" t="str">
            <v>Make</v>
          </cell>
          <cell r="F1" t="str">
            <v>Model</v>
          </cell>
          <cell r="G1" t="str">
            <v>GVWR</v>
          </cell>
          <cell r="H1" t="str">
            <v>Cross-Reference(on Donny sheet)</v>
          </cell>
          <cell r="I1" t="str">
            <v>Acq Date</v>
          </cell>
          <cell r="J1" t="str">
            <v>Acq Cost</v>
          </cell>
          <cell r="K1" t="str">
            <v>Body Type</v>
          </cell>
          <cell r="L1" t="str">
            <v xml:space="preserve">Body Model / Spec / Capacity / S/N / Crane / Liftgate / AFV </v>
          </cell>
          <cell r="M1" t="str">
            <v>Driver / Dept.</v>
          </cell>
          <cell r="N1" t="str">
            <v>Dept. Code</v>
          </cell>
          <cell r="O1" t="str">
            <v>Employee</v>
          </cell>
          <cell r="P1" t="str">
            <v>Take Home</v>
          </cell>
        </row>
        <row r="2">
          <cell r="A2">
            <v>149</v>
          </cell>
          <cell r="B2">
            <v>22576</v>
          </cell>
          <cell r="C2" t="str">
            <v>GBP653</v>
          </cell>
          <cell r="D2">
            <v>2003</v>
          </cell>
          <cell r="E2" t="str">
            <v>Sullivan</v>
          </cell>
          <cell r="F2" t="str">
            <v>D210Q</v>
          </cell>
          <cell r="H2" t="str">
            <v>IM430</v>
          </cell>
          <cell r="K2" t="str">
            <v>Trailer</v>
          </cell>
          <cell r="L2" t="str">
            <v>Air Compressor</v>
          </cell>
          <cell r="M2" t="str">
            <v>Air Compressor</v>
          </cell>
          <cell r="N2" t="str">
            <v>IM430</v>
          </cell>
          <cell r="O2" t="str">
            <v>Air Compressor</v>
          </cell>
          <cell r="P2" t="str">
            <v>n/a</v>
          </cell>
        </row>
        <row r="3">
          <cell r="A3">
            <v>786</v>
          </cell>
          <cell r="B3" t="str">
            <v>27505010090021847</v>
          </cell>
          <cell r="C3" t="str">
            <v>GBC996</v>
          </cell>
          <cell r="D3">
            <v>2002</v>
          </cell>
          <cell r="E3" t="str">
            <v>All Pro</v>
          </cell>
          <cell r="G3" t="str">
            <v>n/a</v>
          </cell>
          <cell r="H3" t="str">
            <v>EL451</v>
          </cell>
          <cell r="K3" t="str">
            <v>Trailer</v>
          </cell>
          <cell r="L3" t="str">
            <v>Utility</v>
          </cell>
          <cell r="M3" t="str">
            <v>Lawm Maint Trailer</v>
          </cell>
          <cell r="N3" t="str">
            <v> EL451</v>
          </cell>
          <cell r="O3" t="str">
            <v>Lawm Maint Trailer</v>
          </cell>
          <cell r="P3" t="str">
            <v>No</v>
          </cell>
        </row>
        <row r="4">
          <cell r="A4">
            <v>195</v>
          </cell>
          <cell r="B4" t="str">
            <v>1GBJ6C1E65F533767</v>
          </cell>
          <cell r="C4" t="str">
            <v>GBG250</v>
          </cell>
          <cell r="D4">
            <v>2005</v>
          </cell>
          <cell r="E4" t="str">
            <v>Chevrolet</v>
          </cell>
          <cell r="F4">
            <v>5500</v>
          </cell>
          <cell r="G4">
            <v>25950</v>
          </cell>
          <cell r="H4" t="str">
            <v>PR460</v>
          </cell>
          <cell r="K4" t="str">
            <v>Dump Trk</v>
          </cell>
          <cell r="L4" t="str">
            <v>8.1L V8-G, Std. Cab</v>
          </cell>
          <cell r="N4" t="str">
            <v>OP460</v>
          </cell>
          <cell r="O4" t="str">
            <v>Not Assigned</v>
          </cell>
          <cell r="P4" t="str">
            <v>No</v>
          </cell>
        </row>
        <row r="5">
          <cell r="A5">
            <v>194</v>
          </cell>
          <cell r="B5" t="str">
            <v>1GCDT196268296915</v>
          </cell>
          <cell r="C5" t="str">
            <v>GBG252</v>
          </cell>
          <cell r="D5">
            <v>2006</v>
          </cell>
          <cell r="E5" t="str">
            <v>Chevrolet</v>
          </cell>
          <cell r="F5" t="str">
            <v>Colorado</v>
          </cell>
          <cell r="G5">
            <v>5300</v>
          </cell>
          <cell r="H5" t="str">
            <v>PR460</v>
          </cell>
          <cell r="K5" t="str">
            <v>Comp. P/U</v>
          </cell>
          <cell r="L5" t="str">
            <v>3.5L I5-G, Ext. Cab</v>
          </cell>
          <cell r="N5" t="str">
            <v>OP460</v>
          </cell>
          <cell r="P5" t="str">
            <v>No</v>
          </cell>
        </row>
        <row r="6">
          <cell r="A6">
            <v>192</v>
          </cell>
          <cell r="B6" t="str">
            <v>1GCEC19X05Z148249</v>
          </cell>
          <cell r="C6" t="str">
            <v>GBG248</v>
          </cell>
          <cell r="D6">
            <v>2005</v>
          </cell>
          <cell r="E6" t="str">
            <v>Chevrolet</v>
          </cell>
          <cell r="F6" t="str">
            <v>Silverado</v>
          </cell>
          <cell r="G6">
            <v>6200</v>
          </cell>
          <cell r="H6" t="str">
            <v>PR460</v>
          </cell>
          <cell r="K6" t="str">
            <v>Pickup</v>
          </cell>
          <cell r="L6" t="str">
            <v>V8-G, Ext. Cab</v>
          </cell>
          <cell r="N6" t="str">
            <v>OP460</v>
          </cell>
          <cell r="O6" t="str">
            <v>Jeff Pretty</v>
          </cell>
          <cell r="P6" t="str">
            <v>YES</v>
          </cell>
        </row>
        <row r="7">
          <cell r="A7">
            <v>204</v>
          </cell>
          <cell r="B7" t="str">
            <v>1GCGG25V341154972</v>
          </cell>
          <cell r="C7" t="str">
            <v>GBG254</v>
          </cell>
          <cell r="D7">
            <v>2004</v>
          </cell>
          <cell r="E7" t="str">
            <v>Chevrolet</v>
          </cell>
          <cell r="F7" t="str">
            <v>Express 2500</v>
          </cell>
          <cell r="G7">
            <v>8600</v>
          </cell>
          <cell r="H7" t="str">
            <v>SV430</v>
          </cell>
          <cell r="K7" t="str">
            <v>Van</v>
          </cell>
          <cell r="L7" t="str">
            <v>6.0L V8-G, old CFG OT-0481</v>
          </cell>
          <cell r="M7" t="str">
            <v>Service</v>
          </cell>
          <cell r="N7" t="str">
            <v>SV430</v>
          </cell>
          <cell r="O7" t="str">
            <v>Service</v>
          </cell>
          <cell r="P7" t="str">
            <v>No</v>
          </cell>
        </row>
        <row r="8">
          <cell r="A8">
            <v>615</v>
          </cell>
          <cell r="B8" t="str">
            <v>1GCHK24U42E238297</v>
          </cell>
          <cell r="C8" t="str">
            <v>GBG255</v>
          </cell>
          <cell r="D8">
            <v>2002</v>
          </cell>
          <cell r="E8" t="str">
            <v>Chevrolet</v>
          </cell>
          <cell r="F8">
            <v>2500</v>
          </cell>
          <cell r="G8">
            <v>9200</v>
          </cell>
          <cell r="H8" t="str">
            <v>SV411</v>
          </cell>
          <cell r="K8" t="str">
            <v>Pickup</v>
          </cell>
          <cell r="L8" t="str">
            <v>6.0L V8-G, Std. Cab, 4WD, old CFG CT-0286</v>
          </cell>
          <cell r="M8" t="str">
            <v>Service</v>
          </cell>
          <cell r="N8" t="str">
            <v>SV411</v>
          </cell>
          <cell r="O8" t="str">
            <v>Jose Figueroa</v>
          </cell>
          <cell r="P8" t="str">
            <v>No</v>
          </cell>
        </row>
        <row r="9">
          <cell r="A9">
            <v>805</v>
          </cell>
          <cell r="B9" t="str">
            <v>C200D13C3007052</v>
          </cell>
          <cell r="C9" t="str">
            <v>GBC966</v>
          </cell>
          <cell r="D9">
            <v>1982</v>
          </cell>
          <cell r="E9" t="str">
            <v>Wells</v>
          </cell>
          <cell r="H9" t="str">
            <v>PR431</v>
          </cell>
          <cell r="I9">
            <v>29952</v>
          </cell>
          <cell r="J9">
            <v>2797.63</v>
          </cell>
          <cell r="K9" t="str">
            <v>Trailer</v>
          </cell>
          <cell r="L9" t="str">
            <v>10' Enclosed - Small Trencher, Old SF 0</v>
          </cell>
          <cell r="M9" t="str">
            <v>Equipment Trailer</v>
          </cell>
          <cell r="N9" t="str">
            <v>PR431</v>
          </cell>
          <cell r="O9" t="str">
            <v>Equipment Trailer</v>
          </cell>
          <cell r="P9" t="str">
            <v>n/a</v>
          </cell>
        </row>
        <row r="10">
          <cell r="A10">
            <v>100</v>
          </cell>
          <cell r="B10" t="str">
            <v>NOVIN000081901562</v>
          </cell>
          <cell r="C10" t="str">
            <v>GBC919</v>
          </cell>
          <cell r="D10">
            <v>1990</v>
          </cell>
          <cell r="E10" t="str">
            <v>Custom Made</v>
          </cell>
          <cell r="H10" t="str">
            <v>NO</v>
          </cell>
          <cell r="I10">
            <v>33055</v>
          </cell>
          <cell r="J10">
            <v>1575</v>
          </cell>
          <cell r="K10" t="str">
            <v>Tank Trailer</v>
          </cell>
          <cell r="M10" t="str">
            <v>Tank Haul Trailer</v>
          </cell>
          <cell r="N10" t="str">
            <v>OP460</v>
          </cell>
          <cell r="O10" t="str">
            <v>n/a</v>
          </cell>
          <cell r="P10" t="str">
            <v>n/a</v>
          </cell>
        </row>
        <row r="11">
          <cell r="A11">
            <v>860</v>
          </cell>
          <cell r="B11" t="str">
            <v>1A9AB2002MB006021</v>
          </cell>
          <cell r="C11" t="str">
            <v>GBC878</v>
          </cell>
          <cell r="D11">
            <v>1991</v>
          </cell>
          <cell r="E11" t="str">
            <v>Altec</v>
          </cell>
          <cell r="H11" t="str">
            <v>EL442</v>
          </cell>
          <cell r="I11">
            <v>33239</v>
          </cell>
          <cell r="J11">
            <v>5774</v>
          </cell>
          <cell r="K11" t="str">
            <v>Pole Trailer</v>
          </cell>
          <cell r="M11" t="str">
            <v>Pole Trailer</v>
          </cell>
          <cell r="N11" t="str">
            <v>EL442</v>
          </cell>
          <cell r="O11" t="str">
            <v>Pole Trailer</v>
          </cell>
          <cell r="P11" t="str">
            <v>n/a</v>
          </cell>
        </row>
        <row r="12">
          <cell r="A12" t="str">
            <v>705A</v>
          </cell>
          <cell r="B12" t="str">
            <v>4CZTB3021N122G248</v>
          </cell>
          <cell r="C12" t="str">
            <v>GBP174</v>
          </cell>
          <cell r="D12">
            <v>1992</v>
          </cell>
          <cell r="E12" t="str">
            <v>CZ</v>
          </cell>
          <cell r="G12" t="str">
            <v>n/a</v>
          </cell>
          <cell r="H12" t="str">
            <v>EL452</v>
          </cell>
          <cell r="I12">
            <v>33786</v>
          </cell>
          <cell r="J12">
            <v>6105.11</v>
          </cell>
          <cell r="K12" t="str">
            <v>Trailer</v>
          </cell>
          <cell r="M12" t="str">
            <v>Equipment Trailer</v>
          </cell>
          <cell r="N12" t="str">
            <v> EL452</v>
          </cell>
          <cell r="O12" t="str">
            <v>Equipment Trailer</v>
          </cell>
          <cell r="P12" t="str">
            <v>n/a</v>
          </cell>
        </row>
        <row r="13">
          <cell r="A13">
            <v>859</v>
          </cell>
          <cell r="B13" t="str">
            <v>1BUP20106E1002126</v>
          </cell>
          <cell r="C13" t="str">
            <v>GBC867</v>
          </cell>
          <cell r="D13">
            <v>1984</v>
          </cell>
          <cell r="H13" t="str">
            <v>EL442</v>
          </cell>
          <cell r="I13">
            <v>33970</v>
          </cell>
          <cell r="J13">
            <v>744.11</v>
          </cell>
          <cell r="K13" t="str">
            <v>Pole Trailer</v>
          </cell>
          <cell r="M13" t="str">
            <v>Pole Trailer</v>
          </cell>
          <cell r="N13" t="str">
            <v>EL442</v>
          </cell>
          <cell r="O13" t="str">
            <v>Pole Trailer</v>
          </cell>
          <cell r="P13" t="str">
            <v>n/a</v>
          </cell>
        </row>
        <row r="14">
          <cell r="A14">
            <v>92</v>
          </cell>
          <cell r="B14" t="str">
            <v>4FPFB1016PG002804</v>
          </cell>
          <cell r="C14" t="str">
            <v>GBC965</v>
          </cell>
          <cell r="D14">
            <v>1993</v>
          </cell>
          <cell r="H14" t="str">
            <v>IM430</v>
          </cell>
          <cell r="I14">
            <v>34090</v>
          </cell>
          <cell r="J14">
            <v>2837.89</v>
          </cell>
          <cell r="K14" t="str">
            <v>Trailer</v>
          </cell>
          <cell r="L14" t="str">
            <v>Emergency Trailer - Enclosed</v>
          </cell>
          <cell r="M14" t="str">
            <v>Equipment Trailer</v>
          </cell>
          <cell r="N14" t="str">
            <v>IM430</v>
          </cell>
          <cell r="O14" t="str">
            <v>Emergency Trailer</v>
          </cell>
          <cell r="P14" t="str">
            <v>n/a</v>
          </cell>
        </row>
        <row r="15">
          <cell r="A15">
            <v>861</v>
          </cell>
          <cell r="B15" t="str">
            <v>1BUC20209R1003360</v>
          </cell>
          <cell r="C15" t="str">
            <v>GBZ950</v>
          </cell>
          <cell r="D15">
            <v>1994</v>
          </cell>
          <cell r="E15" t="str">
            <v>Butler</v>
          </cell>
          <cell r="H15" t="str">
            <v>EL442</v>
          </cell>
          <cell r="I15">
            <v>34335</v>
          </cell>
          <cell r="J15">
            <v>9315.2800000000007</v>
          </cell>
          <cell r="K15" t="str">
            <v>Pole Trailer</v>
          </cell>
          <cell r="L15" t="str">
            <v>Combination</v>
          </cell>
          <cell r="M15" t="str">
            <v>Pole Trailer</v>
          </cell>
          <cell r="N15" t="str">
            <v>EL442</v>
          </cell>
          <cell r="O15" t="str">
            <v>Pole Trailer</v>
          </cell>
          <cell r="P15" t="str">
            <v>n/a</v>
          </cell>
        </row>
        <row r="16">
          <cell r="A16">
            <v>134</v>
          </cell>
          <cell r="B16" t="str">
            <v>1YB321536R1B1T467</v>
          </cell>
          <cell r="C16" t="str">
            <v>GBC984</v>
          </cell>
          <cell r="D16">
            <v>1994</v>
          </cell>
          <cell r="E16" t="str">
            <v>Custom</v>
          </cell>
          <cell r="G16">
            <v>12375</v>
          </cell>
          <cell r="H16" t="str">
            <v>PR460</v>
          </cell>
          <cell r="I16">
            <v>34335</v>
          </cell>
          <cell r="J16">
            <v>10384.24</v>
          </cell>
          <cell r="K16" t="str">
            <v>Trailer</v>
          </cell>
          <cell r="L16" t="str">
            <v>Case Trencher</v>
          </cell>
          <cell r="M16" t="str">
            <v>Equipment Trailer</v>
          </cell>
          <cell r="N16" t="str">
            <v>OP460</v>
          </cell>
          <cell r="O16" t="str">
            <v>Equipment Trailer</v>
          </cell>
          <cell r="P16" t="str">
            <v>n/a</v>
          </cell>
        </row>
        <row r="17">
          <cell r="A17">
            <v>740</v>
          </cell>
          <cell r="B17" t="str">
            <v>1HTSCAAN2SH204127</v>
          </cell>
          <cell r="C17" t="str">
            <v>GBP672</v>
          </cell>
          <cell r="D17">
            <v>1995</v>
          </cell>
          <cell r="E17" t="str">
            <v>International</v>
          </cell>
          <cell r="F17">
            <v>4700</v>
          </cell>
          <cell r="G17">
            <v>31000</v>
          </cell>
          <cell r="H17" t="str">
            <v>EL452</v>
          </cell>
          <cell r="I17">
            <v>34881</v>
          </cell>
          <cell r="J17">
            <v>119480.02</v>
          </cell>
          <cell r="K17" t="str">
            <v>Bucket</v>
          </cell>
          <cell r="L17" t="str">
            <v>Altec AM550</v>
          </cell>
          <cell r="M17" t="str">
            <v>Bucket Truck</v>
          </cell>
          <cell r="N17" t="str">
            <v> EL452</v>
          </cell>
          <cell r="O17" t="str">
            <v>Parrish Kildow</v>
          </cell>
          <cell r="P17" t="str">
            <v>No</v>
          </cell>
        </row>
        <row r="18">
          <cell r="A18">
            <v>946</v>
          </cell>
          <cell r="B18" t="str">
            <v>1FTDF17W5VND12731</v>
          </cell>
          <cell r="C18" t="str">
            <v>GBC937</v>
          </cell>
          <cell r="D18">
            <v>1997</v>
          </cell>
          <cell r="E18" t="str">
            <v>Ford</v>
          </cell>
          <cell r="F18" t="str">
            <v>F150</v>
          </cell>
          <cell r="G18">
            <v>5550</v>
          </cell>
          <cell r="H18" t="str">
            <v>EN440</v>
          </cell>
          <cell r="I18">
            <v>35431</v>
          </cell>
          <cell r="J18">
            <v>17487.439999999999</v>
          </cell>
          <cell r="K18" t="str">
            <v>Pickup</v>
          </cell>
          <cell r="L18" t="str">
            <v>V8-G, Std. Cab</v>
          </cell>
          <cell r="M18" t="str">
            <v>Transformer Shop</v>
          </cell>
          <cell r="N18" t="str">
            <v>EN440</v>
          </cell>
          <cell r="O18" t="str">
            <v>John Griffin</v>
          </cell>
          <cell r="P18" t="str">
            <v>No</v>
          </cell>
        </row>
        <row r="19">
          <cell r="A19">
            <v>520</v>
          </cell>
          <cell r="B19" t="str">
            <v>4TANL42N1WZ142936</v>
          </cell>
          <cell r="C19" t="str">
            <v>GBC948</v>
          </cell>
          <cell r="D19">
            <v>1998</v>
          </cell>
          <cell r="E19" t="str">
            <v>Toyota</v>
          </cell>
          <cell r="F19" t="str">
            <v>Tacoma</v>
          </cell>
          <cell r="H19" t="str">
            <v>IM410</v>
          </cell>
          <cell r="I19">
            <v>35796</v>
          </cell>
          <cell r="J19">
            <v>14057.6</v>
          </cell>
          <cell r="K19" t="str">
            <v>Comp. P/U</v>
          </cell>
          <cell r="L19" t="str">
            <v>I4-G, Std. Cab</v>
          </cell>
          <cell r="M19" t="str">
            <v>Parts Dept</v>
          </cell>
          <cell r="N19" t="str">
            <v>IM410</v>
          </cell>
          <cell r="O19" t="str">
            <v>I&amp;M</v>
          </cell>
          <cell r="P19" t="str">
            <v>No</v>
          </cell>
        </row>
        <row r="20">
          <cell r="A20">
            <v>465</v>
          </cell>
          <cell r="B20" t="str">
            <v>1FTYR14U7WPB02956</v>
          </cell>
          <cell r="C20" t="str">
            <v>GBC947</v>
          </cell>
          <cell r="D20">
            <v>1998</v>
          </cell>
          <cell r="E20" t="str">
            <v>Ford</v>
          </cell>
          <cell r="F20" t="str">
            <v>Ranger</v>
          </cell>
          <cell r="H20" t="str">
            <v>SY410</v>
          </cell>
          <cell r="I20">
            <v>35908</v>
          </cell>
          <cell r="J20">
            <v>16266.88</v>
          </cell>
          <cell r="K20" t="str">
            <v>Comp. P/U</v>
          </cell>
          <cell r="L20" t="str">
            <v>Ext. Cab</v>
          </cell>
          <cell r="M20" t="str">
            <v>Sys Ops</v>
          </cell>
          <cell r="N20" t="str">
            <v>SY410</v>
          </cell>
          <cell r="O20" t="str">
            <v>Spare</v>
          </cell>
          <cell r="P20" t="str">
            <v>No</v>
          </cell>
        </row>
        <row r="21">
          <cell r="A21">
            <v>747</v>
          </cell>
          <cell r="B21" t="str">
            <v>1HTSEAAR4WH557861</v>
          </cell>
          <cell r="C21" t="str">
            <v>GBP673</v>
          </cell>
          <cell r="D21">
            <v>1998</v>
          </cell>
          <cell r="E21" t="str">
            <v>International</v>
          </cell>
          <cell r="F21">
            <v>4800</v>
          </cell>
          <cell r="G21">
            <v>36220</v>
          </cell>
          <cell r="H21" t="str">
            <v>EL451</v>
          </cell>
          <cell r="I21">
            <v>36039</v>
          </cell>
          <cell r="J21">
            <v>159643.38</v>
          </cell>
          <cell r="K21" t="str">
            <v>Bucket</v>
          </cell>
          <cell r="L21" t="str">
            <v>Altec AM550</v>
          </cell>
          <cell r="M21" t="str">
            <v>Bucket Truck</v>
          </cell>
          <cell r="N21" t="str">
            <v> EL451</v>
          </cell>
          <cell r="O21" t="str">
            <v>Donnie Maxwell</v>
          </cell>
          <cell r="P21" t="str">
            <v>No</v>
          </cell>
        </row>
        <row r="22">
          <cell r="A22">
            <v>749</v>
          </cell>
          <cell r="B22" t="str">
            <v>1HTSDAAROXH575987</v>
          </cell>
          <cell r="C22" t="str">
            <v>GBP674</v>
          </cell>
          <cell r="D22">
            <v>1999</v>
          </cell>
          <cell r="E22" t="str">
            <v>International</v>
          </cell>
          <cell r="F22">
            <v>4900</v>
          </cell>
          <cell r="G22">
            <v>36220</v>
          </cell>
          <cell r="H22" t="str">
            <v>EL451</v>
          </cell>
          <cell r="I22">
            <v>36161</v>
          </cell>
          <cell r="J22">
            <v>132508.92000000001</v>
          </cell>
          <cell r="K22" t="str">
            <v>Digger Derrick</v>
          </cell>
          <cell r="M22" t="str">
            <v>Digger Derrick</v>
          </cell>
          <cell r="N22" t="str">
            <v> EL451</v>
          </cell>
          <cell r="O22" t="str">
            <v>Poles and transformers</v>
          </cell>
          <cell r="P22" t="str">
            <v>No</v>
          </cell>
        </row>
        <row r="23">
          <cell r="A23">
            <v>473</v>
          </cell>
          <cell r="B23" t="str">
            <v>1FTZF1722XNB99391</v>
          </cell>
          <cell r="C23" t="str">
            <v>GBC969</v>
          </cell>
          <cell r="D23">
            <v>1999</v>
          </cell>
          <cell r="E23" t="str">
            <v>Ford</v>
          </cell>
          <cell r="F23" t="str">
            <v>F150</v>
          </cell>
          <cell r="G23">
            <v>6000</v>
          </cell>
          <cell r="H23" t="str">
            <v>PR410</v>
          </cell>
          <cell r="I23">
            <v>36334</v>
          </cell>
          <cell r="J23">
            <v>16283.19</v>
          </cell>
          <cell r="K23" t="str">
            <v>Pickup</v>
          </cell>
          <cell r="L23" t="str">
            <v>4.2L V6-G, Std. Cab</v>
          </cell>
          <cell r="M23" t="str">
            <v>Propane</v>
          </cell>
          <cell r="N23" t="str">
            <v>PR410</v>
          </cell>
          <cell r="O23" t="str">
            <v>Henry Mitchell</v>
          </cell>
          <cell r="P23" t="str">
            <v>No</v>
          </cell>
        </row>
        <row r="24">
          <cell r="A24">
            <v>748</v>
          </cell>
          <cell r="B24" t="str">
            <v>1FDWF36L4XEC39975</v>
          </cell>
          <cell r="C24" t="str">
            <v>GBF936</v>
          </cell>
          <cell r="D24">
            <v>1999</v>
          </cell>
          <cell r="E24" t="str">
            <v>Ford</v>
          </cell>
          <cell r="F24" t="str">
            <v>F-350</v>
          </cell>
          <cell r="G24">
            <v>11200</v>
          </cell>
          <cell r="H24" t="str">
            <v>NO</v>
          </cell>
          <cell r="I24">
            <v>36342</v>
          </cell>
          <cell r="J24">
            <v>39592.959999999999</v>
          </cell>
          <cell r="K24" t="str">
            <v>Utility</v>
          </cell>
          <cell r="L24" t="str">
            <v>5.4L V8-G, Crane</v>
          </cell>
          <cell r="M24" t="str">
            <v>I&amp;M</v>
          </cell>
          <cell r="N24" t="str">
            <v> EL452</v>
          </cell>
          <cell r="O24" t="str">
            <v>Spare</v>
          </cell>
          <cell r="P24" t="str">
            <v>No</v>
          </cell>
        </row>
        <row r="25">
          <cell r="A25">
            <v>112</v>
          </cell>
          <cell r="B25" t="str">
            <v>1BUD1420XX1009695</v>
          </cell>
          <cell r="C25" t="str">
            <v>GBC961</v>
          </cell>
          <cell r="D25">
            <v>1999</v>
          </cell>
          <cell r="E25" t="str">
            <v>Butler</v>
          </cell>
          <cell r="H25" t="str">
            <v>IM430</v>
          </cell>
          <cell r="I25">
            <v>36495</v>
          </cell>
          <cell r="J25">
            <v>3949.85</v>
          </cell>
          <cell r="K25" t="str">
            <v>Trailer</v>
          </cell>
          <cell r="L25" t="str">
            <v>Vermeer Ditch Witch</v>
          </cell>
          <cell r="M25" t="str">
            <v>Equipment Trailer</v>
          </cell>
          <cell r="N25" t="str">
            <v>IM430</v>
          </cell>
          <cell r="O25" t="str">
            <v>Vermeer Trailer</v>
          </cell>
          <cell r="P25" t="str">
            <v>n/a</v>
          </cell>
        </row>
        <row r="26">
          <cell r="A26">
            <v>954</v>
          </cell>
          <cell r="B26" t="str">
            <v>1FV6HJBB1XHF40404</v>
          </cell>
          <cell r="C26" t="str">
            <v>GBQ210</v>
          </cell>
          <cell r="D26">
            <v>1999</v>
          </cell>
          <cell r="E26" t="str">
            <v>Freightliner</v>
          </cell>
          <cell r="F26" t="str">
            <v>FL70</v>
          </cell>
          <cell r="G26">
            <v>35000</v>
          </cell>
          <cell r="H26" t="str">
            <v>EL441</v>
          </cell>
          <cell r="I26">
            <v>36495</v>
          </cell>
          <cell r="J26">
            <v>125012.24</v>
          </cell>
          <cell r="K26" t="str">
            <v>Altec</v>
          </cell>
          <cell r="L26" t="str">
            <v>AA755 Bucket</v>
          </cell>
          <cell r="M26" t="str">
            <v>Bucket Truck</v>
          </cell>
          <cell r="N26" t="str">
            <v>EL441</v>
          </cell>
          <cell r="O26" t="str">
            <v>Danny Mathis</v>
          </cell>
          <cell r="P26" t="str">
            <v>No</v>
          </cell>
        </row>
        <row r="27">
          <cell r="A27">
            <v>114</v>
          </cell>
          <cell r="B27" t="str">
            <v>1HTSCAAN9YH694123</v>
          </cell>
          <cell r="C27" t="str">
            <v>N4521Q</v>
          </cell>
          <cell r="D27">
            <v>2000</v>
          </cell>
          <cell r="E27" t="str">
            <v>International</v>
          </cell>
          <cell r="F27">
            <v>4300</v>
          </cell>
          <cell r="G27">
            <v>33000</v>
          </cell>
          <cell r="H27" t="str">
            <v>PR431</v>
          </cell>
          <cell r="I27">
            <v>36526</v>
          </cell>
          <cell r="J27">
            <v>77196.56</v>
          </cell>
          <cell r="K27" t="str">
            <v>Bobtail</v>
          </cell>
          <cell r="L27" t="str">
            <v>Trinity (1983) 3000 s/n 115050</v>
          </cell>
          <cell r="M27" t="str">
            <v>Bobtail</v>
          </cell>
          <cell r="N27" t="str">
            <v>PR431</v>
          </cell>
          <cell r="O27" t="str">
            <v>Spare - used during winters as third truck</v>
          </cell>
          <cell r="P27" t="str">
            <v>No</v>
          </cell>
        </row>
        <row r="28">
          <cell r="A28">
            <v>754</v>
          </cell>
          <cell r="B28" t="str">
            <v>123WM1217X1T24076</v>
          </cell>
          <cell r="C28" t="str">
            <v>GBP383</v>
          </cell>
          <cell r="D28">
            <v>1999</v>
          </cell>
          <cell r="E28" t="str">
            <v>Sherman</v>
          </cell>
          <cell r="G28" t="str">
            <v>n/a</v>
          </cell>
          <cell r="H28" t="str">
            <v>EL451</v>
          </cell>
          <cell r="I28">
            <v>36708</v>
          </cell>
          <cell r="J28">
            <v>8384.9</v>
          </cell>
          <cell r="K28" t="str">
            <v>Trailer</v>
          </cell>
          <cell r="L28" t="str">
            <v>Reel</v>
          </cell>
          <cell r="M28" t="str">
            <v>Reel Trailer</v>
          </cell>
          <cell r="N28" t="str">
            <v> EL451</v>
          </cell>
          <cell r="O28" t="str">
            <v>Reel Trailer</v>
          </cell>
          <cell r="P28" t="str">
            <v>n/a</v>
          </cell>
        </row>
        <row r="29">
          <cell r="A29">
            <v>755</v>
          </cell>
          <cell r="B29" t="str">
            <v>123WM1219X1T24077</v>
          </cell>
          <cell r="C29" t="str">
            <v>GBP444</v>
          </cell>
          <cell r="D29">
            <v>1999</v>
          </cell>
          <cell r="E29" t="str">
            <v>Sherman</v>
          </cell>
          <cell r="G29" t="str">
            <v>n/a</v>
          </cell>
          <cell r="H29" t="str">
            <v>EL451</v>
          </cell>
          <cell r="I29">
            <v>36708</v>
          </cell>
          <cell r="J29">
            <v>8384.9</v>
          </cell>
          <cell r="K29" t="str">
            <v>Trailer</v>
          </cell>
          <cell r="L29" t="str">
            <v>Reel</v>
          </cell>
          <cell r="M29" t="str">
            <v>Reel Trailer</v>
          </cell>
          <cell r="N29" t="str">
            <v> EL451</v>
          </cell>
          <cell r="O29" t="str">
            <v>Reel Trailer</v>
          </cell>
          <cell r="P29" t="str">
            <v>n/a</v>
          </cell>
        </row>
        <row r="30">
          <cell r="A30">
            <v>757</v>
          </cell>
          <cell r="B30" t="str">
            <v>1FDWF37L6YED05846</v>
          </cell>
          <cell r="C30" t="str">
            <v>GBF912</v>
          </cell>
          <cell r="D30">
            <v>2000</v>
          </cell>
          <cell r="E30" t="str">
            <v>Ford</v>
          </cell>
          <cell r="F30" t="str">
            <v>F-350</v>
          </cell>
          <cell r="G30">
            <v>11200</v>
          </cell>
          <cell r="H30" t="str">
            <v>NO</v>
          </cell>
          <cell r="I30">
            <v>36708</v>
          </cell>
          <cell r="J30">
            <v>37256.589999999997</v>
          </cell>
          <cell r="K30" t="str">
            <v>Utility</v>
          </cell>
          <cell r="L30" t="str">
            <v>V8-G</v>
          </cell>
          <cell r="M30" t="str">
            <v>I&amp;M</v>
          </cell>
          <cell r="N30" t="str">
            <v> EL451</v>
          </cell>
          <cell r="O30" t="str">
            <v>Spare</v>
          </cell>
          <cell r="P30" t="str">
            <v>No</v>
          </cell>
        </row>
        <row r="31">
          <cell r="A31">
            <v>762</v>
          </cell>
          <cell r="B31" t="str">
            <v>1GBGC34R2YR210966</v>
          </cell>
          <cell r="C31" t="str">
            <v>GBF919</v>
          </cell>
          <cell r="D31">
            <v>2000</v>
          </cell>
          <cell r="E31" t="str">
            <v>Chevrolet</v>
          </cell>
          <cell r="F31">
            <v>3500</v>
          </cell>
          <cell r="G31">
            <v>9000</v>
          </cell>
          <cell r="H31" t="str">
            <v>EL452</v>
          </cell>
          <cell r="I31">
            <v>36708</v>
          </cell>
          <cell r="J31">
            <v>28341.01</v>
          </cell>
          <cell r="K31" t="str">
            <v>Utility</v>
          </cell>
          <cell r="L31" t="str">
            <v>V8-G</v>
          </cell>
          <cell r="M31" t="str">
            <v>Meter Shop</v>
          </cell>
          <cell r="N31" t="str">
            <v> EL452</v>
          </cell>
          <cell r="O31" t="str">
            <v>Don Scandaliato</v>
          </cell>
          <cell r="P31" t="str">
            <v>No</v>
          </cell>
        </row>
        <row r="32">
          <cell r="A32">
            <v>32</v>
          </cell>
          <cell r="B32" t="str">
            <v>1HTSCAAN41H366937</v>
          </cell>
          <cell r="C32" t="str">
            <v>N4529H</v>
          </cell>
          <cell r="D32">
            <v>2001</v>
          </cell>
          <cell r="E32" t="str">
            <v>International</v>
          </cell>
          <cell r="F32">
            <v>4700</v>
          </cell>
          <cell r="G32">
            <v>33000</v>
          </cell>
          <cell r="H32" t="str">
            <v>PR410</v>
          </cell>
          <cell r="I32">
            <v>36784</v>
          </cell>
          <cell r="J32">
            <v>88064.91</v>
          </cell>
          <cell r="K32" t="str">
            <v>Bobtail</v>
          </cell>
          <cell r="L32" t="str">
            <v>BT&amp;T 3499 s/n 639</v>
          </cell>
          <cell r="M32" t="str">
            <v>Bobtail</v>
          </cell>
          <cell r="N32" t="str">
            <v>PR410</v>
          </cell>
          <cell r="O32" t="str">
            <v>Jeff Fleischman</v>
          </cell>
          <cell r="P32" t="str">
            <v>No</v>
          </cell>
        </row>
        <row r="33">
          <cell r="A33">
            <v>481</v>
          </cell>
          <cell r="B33" t="str">
            <v>112AAH2061L055858</v>
          </cell>
          <cell r="C33" t="str">
            <v>GBC975</v>
          </cell>
          <cell r="D33">
            <v>2000</v>
          </cell>
          <cell r="E33" t="str">
            <v>EAGB</v>
          </cell>
          <cell r="F33" t="str">
            <v>AP10</v>
          </cell>
          <cell r="H33" t="str">
            <v>IM410</v>
          </cell>
          <cell r="I33">
            <v>36830</v>
          </cell>
          <cell r="J33">
            <v>4097</v>
          </cell>
          <cell r="K33" t="str">
            <v>Trailer</v>
          </cell>
          <cell r="L33" t="str">
            <v>Trencher - Case 460   Water Trailer for tank purging</v>
          </cell>
          <cell r="M33" t="str">
            <v>Equipment Trailer</v>
          </cell>
          <cell r="N33" t="str">
            <v>IM410</v>
          </cell>
          <cell r="O33" t="str">
            <v>Equipment Trailer</v>
          </cell>
          <cell r="P33" t="str">
            <v>n/a</v>
          </cell>
        </row>
        <row r="34">
          <cell r="A34">
            <v>595</v>
          </cell>
          <cell r="B34" t="str">
            <v>1G1ND52J116101729</v>
          </cell>
          <cell r="C34" t="str">
            <v>GBC893</v>
          </cell>
          <cell r="D34">
            <v>2001</v>
          </cell>
          <cell r="E34" t="str">
            <v>Chevrolet</v>
          </cell>
          <cell r="F34" t="str">
            <v>Malibu</v>
          </cell>
          <cell r="H34" t="str">
            <v>EN410</v>
          </cell>
          <cell r="I34">
            <v>36892</v>
          </cell>
          <cell r="J34">
            <v>17745.05</v>
          </cell>
          <cell r="K34" t="str">
            <v>Automobile</v>
          </cell>
          <cell r="L34" t="str">
            <v>Sedan, Old NW 958</v>
          </cell>
          <cell r="M34" t="str">
            <v>Engineering</v>
          </cell>
          <cell r="N34" t="str">
            <v>EN410</v>
          </cell>
          <cell r="O34" t="str">
            <v>Nani Santiago</v>
          </cell>
          <cell r="P34" t="str">
            <v>No</v>
          </cell>
        </row>
        <row r="35">
          <cell r="A35">
            <v>957</v>
          </cell>
          <cell r="B35" t="str">
            <v>5TESN92N0YZ716058</v>
          </cell>
          <cell r="C35" t="str">
            <v>GBC909</v>
          </cell>
          <cell r="D35">
            <v>2000</v>
          </cell>
          <cell r="E35" t="str">
            <v>Toyota</v>
          </cell>
          <cell r="F35" t="str">
            <v>Tacoma</v>
          </cell>
          <cell r="G35">
            <v>5100</v>
          </cell>
          <cell r="H35" t="str">
            <v>EN440</v>
          </cell>
          <cell r="I35">
            <v>36892</v>
          </cell>
          <cell r="J35">
            <v>19134.28</v>
          </cell>
          <cell r="K35" t="str">
            <v>Pickup</v>
          </cell>
          <cell r="L35" t="str">
            <v>Pre-Runner Std. Cab</v>
          </cell>
          <cell r="M35" t="str">
            <v>Engineering</v>
          </cell>
          <cell r="N35" t="str">
            <v>EN440</v>
          </cell>
          <cell r="O35" t="str">
            <v>Donnie Tew</v>
          </cell>
          <cell r="P35" t="str">
            <v>No</v>
          </cell>
        </row>
        <row r="36">
          <cell r="A36">
            <v>486</v>
          </cell>
          <cell r="B36" t="str">
            <v>1FTYR10D01PB17992</v>
          </cell>
          <cell r="C36" t="str">
            <v>GBC904</v>
          </cell>
          <cell r="D36">
            <v>2001</v>
          </cell>
          <cell r="E36" t="str">
            <v>Ford</v>
          </cell>
          <cell r="F36" t="str">
            <v>Ranger</v>
          </cell>
          <cell r="H36" t="str">
            <v>WH410</v>
          </cell>
          <cell r="I36">
            <v>36999</v>
          </cell>
          <cell r="J36">
            <v>12863.64</v>
          </cell>
          <cell r="K36" t="str">
            <v>Comp. P/U</v>
          </cell>
          <cell r="L36" t="str">
            <v>Std. Cab</v>
          </cell>
          <cell r="M36" t="str">
            <v>Warehouse</v>
          </cell>
          <cell r="N36" t="str">
            <v>WH410</v>
          </cell>
          <cell r="O36" t="str">
            <v>Robert Police</v>
          </cell>
          <cell r="P36" t="str">
            <v>No</v>
          </cell>
        </row>
        <row r="37">
          <cell r="A37">
            <v>34</v>
          </cell>
          <cell r="B37" t="str">
            <v>1HTSCAAN21H400440</v>
          </cell>
          <cell r="C37" t="str">
            <v>GBP656</v>
          </cell>
          <cell r="D37">
            <v>2001</v>
          </cell>
          <cell r="E37" t="str">
            <v>International</v>
          </cell>
          <cell r="F37">
            <v>4700</v>
          </cell>
          <cell r="G37">
            <v>33000</v>
          </cell>
          <cell r="H37" t="str">
            <v>PR410</v>
          </cell>
          <cell r="I37">
            <v>37001</v>
          </cell>
          <cell r="J37">
            <v>91568.93</v>
          </cell>
          <cell r="K37" t="str">
            <v>Bobtail</v>
          </cell>
          <cell r="L37" t="str">
            <v>BT&amp;T 3499 s/n 687</v>
          </cell>
          <cell r="M37" t="str">
            <v>Bobtail</v>
          </cell>
          <cell r="N37" t="str">
            <v>PR410</v>
          </cell>
          <cell r="O37" t="str">
            <v>Ollie Sheppard</v>
          </cell>
          <cell r="P37" t="str">
            <v>No</v>
          </cell>
        </row>
        <row r="38">
          <cell r="A38">
            <v>488</v>
          </cell>
          <cell r="B38" t="str">
            <v>1FDAF56S31EC74625</v>
          </cell>
          <cell r="C38" t="str">
            <v>GBF939</v>
          </cell>
          <cell r="D38">
            <v>2001</v>
          </cell>
          <cell r="E38" t="str">
            <v>Ford</v>
          </cell>
          <cell r="F38" t="str">
            <v>F550</v>
          </cell>
          <cell r="G38">
            <v>17500</v>
          </cell>
          <cell r="H38" t="str">
            <v>PR410</v>
          </cell>
          <cell r="I38">
            <v>37043</v>
          </cell>
          <cell r="J38">
            <v>50962.2</v>
          </cell>
          <cell r="K38" t="str">
            <v>I&amp;M</v>
          </cell>
          <cell r="L38" t="str">
            <v>EH5005 1,600 lb</v>
          </cell>
          <cell r="M38" t="str">
            <v>Flo-Gas I&amp;M</v>
          </cell>
          <cell r="N38" t="str">
            <v>PR410</v>
          </cell>
          <cell r="O38" t="str">
            <v>Sam Gilchriest</v>
          </cell>
          <cell r="P38" t="str">
            <v>No</v>
          </cell>
        </row>
        <row r="39">
          <cell r="A39">
            <v>774</v>
          </cell>
          <cell r="B39" t="str">
            <v>1FTYR10D41PB24363</v>
          </cell>
          <cell r="C39" t="str">
            <v>GBP445</v>
          </cell>
          <cell r="D39">
            <v>2001</v>
          </cell>
          <cell r="E39" t="str">
            <v>Ford</v>
          </cell>
          <cell r="F39" t="str">
            <v>Ranger</v>
          </cell>
          <cell r="G39">
            <v>4340</v>
          </cell>
          <cell r="H39" t="str">
            <v>WH450</v>
          </cell>
          <cell r="I39">
            <v>37073</v>
          </cell>
          <cell r="J39">
            <v>13450</v>
          </cell>
          <cell r="K39" t="str">
            <v>Comp. P/U</v>
          </cell>
          <cell r="L39" t="str">
            <v>I4-G</v>
          </cell>
          <cell r="M39" t="str">
            <v>Warehouse</v>
          </cell>
          <cell r="N39" t="str">
            <v>WH450</v>
          </cell>
          <cell r="O39" t="str">
            <v>Roger Reed</v>
          </cell>
          <cell r="P39" t="str">
            <v>No</v>
          </cell>
        </row>
        <row r="40">
          <cell r="A40" t="str">
            <v>763A</v>
          </cell>
          <cell r="B40" t="str">
            <v>1M9FA1628Y1319493</v>
          </cell>
          <cell r="C40" t="str">
            <v>GBC971</v>
          </cell>
          <cell r="D40">
            <v>2000</v>
          </cell>
          <cell r="E40" t="str">
            <v>Mobile</v>
          </cell>
          <cell r="G40" t="str">
            <v>n/a</v>
          </cell>
          <cell r="H40" t="str">
            <v>EL452</v>
          </cell>
          <cell r="I40">
            <v>37073</v>
          </cell>
          <cell r="J40">
            <v>3581.61</v>
          </cell>
          <cell r="K40" t="str">
            <v>Trailer</v>
          </cell>
          <cell r="L40" t="str">
            <v>Trackhoe</v>
          </cell>
          <cell r="M40" t="str">
            <v>Equipment Trailer</v>
          </cell>
          <cell r="N40" t="str">
            <v> EL452</v>
          </cell>
          <cell r="O40" t="str">
            <v>Equipment Trailer</v>
          </cell>
          <cell r="P40" t="str">
            <v>n/a</v>
          </cell>
        </row>
        <row r="41">
          <cell r="A41">
            <v>768</v>
          </cell>
          <cell r="B41" t="str">
            <v>2FTZX17201CA24521</v>
          </cell>
          <cell r="C41" t="str">
            <v>GBC907</v>
          </cell>
          <cell r="D41">
            <v>2001</v>
          </cell>
          <cell r="E41" t="str">
            <v>Ford</v>
          </cell>
          <cell r="F41" t="str">
            <v>F-150</v>
          </cell>
          <cell r="G41">
            <v>6000</v>
          </cell>
          <cell r="H41" t="str">
            <v>EL451</v>
          </cell>
          <cell r="I41">
            <v>37073</v>
          </cell>
          <cell r="J41">
            <v>19580.09</v>
          </cell>
          <cell r="K41" t="str">
            <v>Pickup</v>
          </cell>
          <cell r="L41" t="str">
            <v>V8-G</v>
          </cell>
          <cell r="M41" t="str">
            <v>Spare</v>
          </cell>
          <cell r="N41" t="str">
            <v>EL451</v>
          </cell>
          <cell r="O41" t="str">
            <v>On-Call Truck</v>
          </cell>
          <cell r="P41" t="str">
            <v>No</v>
          </cell>
        </row>
        <row r="42">
          <cell r="A42">
            <v>767</v>
          </cell>
          <cell r="B42" t="str">
            <v>2FTZX17221CA24522</v>
          </cell>
          <cell r="C42" t="str">
            <v>GBC912</v>
          </cell>
          <cell r="D42">
            <v>2001</v>
          </cell>
          <cell r="E42" t="str">
            <v>Ford</v>
          </cell>
          <cell r="F42" t="str">
            <v>F-150</v>
          </cell>
          <cell r="G42">
            <v>6000</v>
          </cell>
          <cell r="H42" t="str">
            <v>EL452</v>
          </cell>
          <cell r="I42">
            <v>37073</v>
          </cell>
          <cell r="J42">
            <v>19580.09</v>
          </cell>
          <cell r="K42" t="str">
            <v>Pickup</v>
          </cell>
          <cell r="L42" t="str">
            <v>V8-G</v>
          </cell>
          <cell r="M42" t="str">
            <v>Service Supv</v>
          </cell>
          <cell r="N42" t="str">
            <v> EL452</v>
          </cell>
          <cell r="O42" t="str">
            <v>Charles Wilkes</v>
          </cell>
          <cell r="P42" t="str">
            <v>YES</v>
          </cell>
        </row>
        <row r="43">
          <cell r="A43">
            <v>498</v>
          </cell>
          <cell r="B43" t="str">
            <v>1FDAF56S71ED15306</v>
          </cell>
          <cell r="C43" t="str">
            <v>GBF942</v>
          </cell>
          <cell r="D43">
            <v>2001</v>
          </cell>
          <cell r="E43" t="str">
            <v>Ford</v>
          </cell>
          <cell r="F43" t="str">
            <v>F550</v>
          </cell>
          <cell r="G43">
            <v>17500</v>
          </cell>
          <cell r="H43" t="str">
            <v>IM410</v>
          </cell>
          <cell r="I43">
            <v>37104</v>
          </cell>
          <cell r="J43">
            <v>37202.400000000001</v>
          </cell>
          <cell r="K43" t="str">
            <v>Utility</v>
          </cell>
          <cell r="L43" t="str">
            <v>I&amp;M</v>
          </cell>
          <cell r="M43" t="str">
            <v>I&amp;M</v>
          </cell>
          <cell r="N43" t="str">
            <v>IM410</v>
          </cell>
          <cell r="O43" t="str">
            <v>Jose Hernandez</v>
          </cell>
          <cell r="P43" t="str">
            <v>No</v>
          </cell>
        </row>
        <row r="44">
          <cell r="A44">
            <v>807</v>
          </cell>
          <cell r="B44" t="str">
            <v>1FDAF56S01ED15308</v>
          </cell>
          <cell r="C44" t="str">
            <v>GBF941</v>
          </cell>
          <cell r="D44">
            <v>2001</v>
          </cell>
          <cell r="E44" t="str">
            <v>Ford</v>
          </cell>
          <cell r="F44" t="str">
            <v>F550</v>
          </cell>
          <cell r="G44">
            <v>17500</v>
          </cell>
          <cell r="H44" t="str">
            <v>PR431</v>
          </cell>
          <cell r="I44">
            <v>37196</v>
          </cell>
          <cell r="J44">
            <v>37202.400000000001</v>
          </cell>
          <cell r="K44" t="str">
            <v>Utility</v>
          </cell>
          <cell r="L44" t="str">
            <v>I&amp;M, 5005EH Crane, Formerly SF 497</v>
          </cell>
          <cell r="M44" t="str">
            <v>I&amp;M</v>
          </cell>
          <cell r="N44" t="str">
            <v>PR431</v>
          </cell>
          <cell r="O44" t="str">
            <v>On-Call Truck</v>
          </cell>
          <cell r="P44" t="str">
            <v>No</v>
          </cell>
        </row>
        <row r="45">
          <cell r="A45">
            <v>120</v>
          </cell>
          <cell r="B45" t="str">
            <v>1FDAF56S71EC74627</v>
          </cell>
          <cell r="C45" t="str">
            <v>GBF940</v>
          </cell>
          <cell r="D45">
            <v>2001</v>
          </cell>
          <cell r="E45" t="str">
            <v>Ford</v>
          </cell>
          <cell r="F45" t="str">
            <v>F550</v>
          </cell>
          <cell r="G45">
            <v>17500</v>
          </cell>
          <cell r="H45" t="str">
            <v>NO</v>
          </cell>
          <cell r="I45">
            <v>37196</v>
          </cell>
          <cell r="J45">
            <v>47729.55</v>
          </cell>
          <cell r="L45" t="str">
            <v>V10-G</v>
          </cell>
          <cell r="M45" t="str">
            <v>Spare I&amp;M</v>
          </cell>
          <cell r="N45" t="str">
            <v>IM430</v>
          </cell>
          <cell r="O45" t="str">
            <v>Spare I&amp;M</v>
          </cell>
          <cell r="P45" t="str">
            <v>No</v>
          </cell>
        </row>
        <row r="46">
          <cell r="A46">
            <v>182</v>
          </cell>
          <cell r="B46" t="str">
            <v>1FDNF20L5YED51507</v>
          </cell>
          <cell r="C46" t="str">
            <v>GBF948</v>
          </cell>
          <cell r="D46">
            <v>2000</v>
          </cell>
          <cell r="E46" t="str">
            <v>Ford</v>
          </cell>
          <cell r="F46" t="str">
            <v>F250</v>
          </cell>
          <cell r="G46">
            <v>8800</v>
          </cell>
          <cell r="H46" t="str">
            <v>NO</v>
          </cell>
          <cell r="I46">
            <v>37288</v>
          </cell>
          <cell r="J46">
            <v>22075.55</v>
          </cell>
          <cell r="K46" t="str">
            <v>Pickup</v>
          </cell>
          <cell r="L46" t="str">
            <v>V8-G, Renumbered - formerly 125      ***CURRENTLY IN WH***</v>
          </cell>
          <cell r="M46" t="str">
            <v>Service</v>
          </cell>
          <cell r="N46" t="str">
            <v>OP460</v>
          </cell>
          <cell r="O46" t="str">
            <v>Spare</v>
          </cell>
          <cell r="P46" t="str">
            <v>No</v>
          </cell>
        </row>
        <row r="47">
          <cell r="A47">
            <v>791</v>
          </cell>
          <cell r="B47" t="str">
            <v>1FTNF20L2YED96621</v>
          </cell>
          <cell r="C47" t="str">
            <v>GBP906</v>
          </cell>
          <cell r="D47">
            <v>2000</v>
          </cell>
          <cell r="E47" t="str">
            <v>Ford</v>
          </cell>
          <cell r="F47" t="str">
            <v>F250</v>
          </cell>
          <cell r="G47">
            <v>8800</v>
          </cell>
          <cell r="H47" t="str">
            <v>NO</v>
          </cell>
          <cell r="I47">
            <v>37288</v>
          </cell>
          <cell r="J47">
            <v>21843.200000000001</v>
          </cell>
          <cell r="K47" t="str">
            <v>Utility Body</v>
          </cell>
          <cell r="L47" t="str">
            <v>Trans from SF</v>
          </cell>
          <cell r="M47" t="str">
            <v>On-Call Truck</v>
          </cell>
          <cell r="N47" t="str">
            <v>PR431</v>
          </cell>
          <cell r="O47" t="str">
            <v>Various Employees</v>
          </cell>
          <cell r="P47" t="str">
            <v>No</v>
          </cell>
        </row>
        <row r="48">
          <cell r="A48">
            <v>177</v>
          </cell>
          <cell r="B48" t="str">
            <v>1HTSCAAM2VH490783</v>
          </cell>
          <cell r="C48" t="str">
            <v>GBF963</v>
          </cell>
          <cell r="D48">
            <v>1997</v>
          </cell>
          <cell r="E48" t="str">
            <v>International</v>
          </cell>
          <cell r="F48">
            <v>4300</v>
          </cell>
          <cell r="G48">
            <v>25500</v>
          </cell>
          <cell r="H48" t="str">
            <v>PR431</v>
          </cell>
          <cell r="I48">
            <v>37347</v>
          </cell>
          <cell r="J48">
            <v>52238.61</v>
          </cell>
          <cell r="K48" t="str">
            <v>Cyl Trk</v>
          </cell>
          <cell r="L48" t="str">
            <v>2,500 lb Liftgate, Old NE 1789</v>
          </cell>
          <cell r="M48" t="str">
            <v>Cylinder Truck</v>
          </cell>
          <cell r="N48" t="str">
            <v>PR431</v>
          </cell>
          <cell r="O48" t="str">
            <v>Forklift cylinder truck - runs 1-2 days per week</v>
          </cell>
          <cell r="P48" t="str">
            <v>No</v>
          </cell>
        </row>
        <row r="49">
          <cell r="A49">
            <v>505</v>
          </cell>
          <cell r="B49" t="str">
            <v>1GTEC14W12Z335252</v>
          </cell>
          <cell r="C49" t="str">
            <v>GBC992</v>
          </cell>
          <cell r="D49">
            <v>2002</v>
          </cell>
          <cell r="E49" t="str">
            <v>GMC</v>
          </cell>
          <cell r="F49">
            <v>1500</v>
          </cell>
          <cell r="G49">
            <v>6100</v>
          </cell>
          <cell r="H49" t="str">
            <v>IM410</v>
          </cell>
          <cell r="I49">
            <v>37419</v>
          </cell>
          <cell r="J49">
            <v>16497.5</v>
          </cell>
          <cell r="K49" t="str">
            <v>Pickup</v>
          </cell>
          <cell r="L49" t="str">
            <v>Std. Cab</v>
          </cell>
          <cell r="M49" t="str">
            <v>Field Coordinator</v>
          </cell>
          <cell r="N49" t="str">
            <v>IM410</v>
          </cell>
          <cell r="O49" t="str">
            <v>Rob Shatzer</v>
          </cell>
          <cell r="P49" t="str">
            <v>YES</v>
          </cell>
        </row>
        <row r="50">
          <cell r="A50">
            <v>504</v>
          </cell>
          <cell r="B50" t="str">
            <v>1GTEC14W92Z336357</v>
          </cell>
          <cell r="C50" t="str">
            <v>GBC993</v>
          </cell>
          <cell r="D50">
            <v>2002</v>
          </cell>
          <cell r="E50" t="str">
            <v>GMC</v>
          </cell>
          <cell r="F50">
            <v>1500</v>
          </cell>
          <cell r="G50">
            <v>6100</v>
          </cell>
          <cell r="H50" t="str">
            <v>IM410</v>
          </cell>
          <cell r="I50">
            <v>37419</v>
          </cell>
          <cell r="J50">
            <v>16497.5</v>
          </cell>
          <cell r="K50" t="str">
            <v>Pickup</v>
          </cell>
          <cell r="L50" t="str">
            <v>Std. Cab</v>
          </cell>
          <cell r="M50" t="str">
            <v>I&amp;M Inspector</v>
          </cell>
          <cell r="N50" t="str">
            <v>IM410</v>
          </cell>
          <cell r="O50" t="str">
            <v>Andy Weitz</v>
          </cell>
          <cell r="P50" t="str">
            <v>YES</v>
          </cell>
        </row>
        <row r="51">
          <cell r="A51">
            <v>613</v>
          </cell>
          <cell r="B51" t="str">
            <v>1GTGG29RX21221948</v>
          </cell>
          <cell r="C51" t="str">
            <v>GBF953</v>
          </cell>
          <cell r="D51">
            <v>2002</v>
          </cell>
          <cell r="E51" t="str">
            <v>GMC</v>
          </cell>
          <cell r="F51">
            <v>2500</v>
          </cell>
          <cell r="G51">
            <v>8600</v>
          </cell>
          <cell r="H51" t="str">
            <v>PR400</v>
          </cell>
          <cell r="I51">
            <v>37437</v>
          </cell>
          <cell r="J51">
            <v>22116.29</v>
          </cell>
          <cell r="K51" t="str">
            <v>Van</v>
          </cell>
          <cell r="L51" t="str">
            <v>V8-G</v>
          </cell>
          <cell r="M51" t="str">
            <v>M&amp;J</v>
          </cell>
          <cell r="N51" t="str">
            <v>PR400</v>
          </cell>
          <cell r="O51" t="str">
            <v>Greg Bedell</v>
          </cell>
          <cell r="P51" t="str">
            <v>No</v>
          </cell>
        </row>
        <row r="52">
          <cell r="A52">
            <v>623</v>
          </cell>
          <cell r="B52" t="str">
            <v>1FMEU6EE0AUA92203</v>
          </cell>
          <cell r="C52" t="str">
            <v>886NWP</v>
          </cell>
          <cell r="D52">
            <v>2010</v>
          </cell>
          <cell r="E52" t="str">
            <v>Ford</v>
          </cell>
          <cell r="F52" t="str">
            <v>Explorer</v>
          </cell>
          <cell r="G52">
            <v>6020</v>
          </cell>
          <cell r="H52" t="str">
            <v>GM410</v>
          </cell>
          <cell r="I52">
            <v>40466</v>
          </cell>
          <cell r="J52">
            <v>30889.5</v>
          </cell>
          <cell r="K52" t="str">
            <v>SUV</v>
          </cell>
          <cell r="L52" t="str">
            <v>V6-G</v>
          </cell>
          <cell r="M52" t="str">
            <v>Gas Ops Director</v>
          </cell>
          <cell r="N52" t="str">
            <v>GM410</v>
          </cell>
          <cell r="O52" t="str">
            <v>Barry Kennedy</v>
          </cell>
          <cell r="P52" t="str">
            <v>YES</v>
          </cell>
        </row>
        <row r="53">
          <cell r="A53">
            <v>512</v>
          </cell>
          <cell r="B53" t="str">
            <v>1GTHC29U02E288149</v>
          </cell>
          <cell r="C53" t="str">
            <v>GBF954</v>
          </cell>
          <cell r="D53">
            <v>2002</v>
          </cell>
          <cell r="E53" t="str">
            <v>GMC</v>
          </cell>
          <cell r="F53">
            <v>2500</v>
          </cell>
          <cell r="G53">
            <v>9200</v>
          </cell>
          <cell r="H53" t="str">
            <v>SY410</v>
          </cell>
          <cell r="I53">
            <v>37500</v>
          </cell>
          <cell r="J53">
            <v>30289.48</v>
          </cell>
          <cell r="K53" t="str">
            <v>Utility</v>
          </cell>
          <cell r="L53" t="str">
            <v>6.0L V8-G, Ext. Cab, SysOp Sniffer Truck</v>
          </cell>
          <cell r="M53" t="str">
            <v>Sys Ops</v>
          </cell>
          <cell r="N53" t="str">
            <v>SY410</v>
          </cell>
          <cell r="O53" t="str">
            <v>Rudy Numa</v>
          </cell>
          <cell r="P53" t="str">
            <v>No</v>
          </cell>
        </row>
        <row r="54">
          <cell r="A54">
            <v>511</v>
          </cell>
          <cell r="B54" t="str">
            <v>1GTHC29U42E291314</v>
          </cell>
          <cell r="C54" t="str">
            <v>GBF951</v>
          </cell>
          <cell r="D54">
            <v>2002</v>
          </cell>
          <cell r="E54" t="str">
            <v>GMC</v>
          </cell>
          <cell r="F54">
            <v>2500</v>
          </cell>
          <cell r="G54">
            <v>9200</v>
          </cell>
          <cell r="H54" t="str">
            <v>SY410</v>
          </cell>
          <cell r="I54">
            <v>37500</v>
          </cell>
          <cell r="J54">
            <v>30289.48</v>
          </cell>
          <cell r="K54" t="str">
            <v>Utility</v>
          </cell>
          <cell r="L54" t="str">
            <v>6.0L V8-G, Ext. Cab, SysOp</v>
          </cell>
          <cell r="M54" t="str">
            <v>Sys Ops</v>
          </cell>
          <cell r="N54" t="str">
            <v>SY410</v>
          </cell>
          <cell r="O54" t="str">
            <v>Spare</v>
          </cell>
          <cell r="P54" t="str">
            <v>No</v>
          </cell>
        </row>
        <row r="55">
          <cell r="A55">
            <v>507</v>
          </cell>
          <cell r="B55" t="str">
            <v>1GTHC29U82E289355</v>
          </cell>
          <cell r="C55" t="str">
            <v>GBF958</v>
          </cell>
          <cell r="D55">
            <v>2002</v>
          </cell>
          <cell r="E55" t="str">
            <v>GMC</v>
          </cell>
          <cell r="F55">
            <v>2500</v>
          </cell>
          <cell r="G55">
            <v>9200</v>
          </cell>
          <cell r="H55" t="str">
            <v>PR410</v>
          </cell>
          <cell r="I55">
            <v>37500</v>
          </cell>
          <cell r="J55">
            <v>30128.37</v>
          </cell>
          <cell r="K55" t="str">
            <v>Utility</v>
          </cell>
          <cell r="L55" t="str">
            <v>6.0L V8-G, Ext. Cab</v>
          </cell>
          <cell r="M55" t="str">
            <v>M&amp;J</v>
          </cell>
          <cell r="N55" t="str">
            <v>PR410</v>
          </cell>
          <cell r="O55" t="str">
            <v>Joseph Deyounks</v>
          </cell>
          <cell r="P55" t="str">
            <v>No</v>
          </cell>
        </row>
        <row r="56">
          <cell r="A56">
            <v>513</v>
          </cell>
          <cell r="B56" t="str">
            <v>1FDAF56SX3EA32353</v>
          </cell>
          <cell r="C56" t="str">
            <v>GBF962</v>
          </cell>
          <cell r="D56">
            <v>2003</v>
          </cell>
          <cell r="E56" t="str">
            <v>Ford</v>
          </cell>
          <cell r="F56" t="str">
            <v>F550</v>
          </cell>
          <cell r="G56">
            <v>17500</v>
          </cell>
          <cell r="H56" t="str">
            <v>IM410</v>
          </cell>
          <cell r="I56">
            <v>37529</v>
          </cell>
          <cell r="J56">
            <v>38231.78</v>
          </cell>
          <cell r="K56" t="str">
            <v>Utility</v>
          </cell>
          <cell r="L56" t="str">
            <v>V10-G, I&amp;M, Welder</v>
          </cell>
          <cell r="M56" t="str">
            <v>I&amp;M Welder</v>
          </cell>
          <cell r="N56" t="str">
            <v>IM410</v>
          </cell>
          <cell r="O56" t="str">
            <v>Mike Ilnisky</v>
          </cell>
          <cell r="P56" t="str">
            <v>No</v>
          </cell>
        </row>
        <row r="57">
          <cell r="A57">
            <v>862</v>
          </cell>
          <cell r="B57" t="str">
            <v>1F9UZ14192V048098</v>
          </cell>
          <cell r="C57" t="str">
            <v>GBC997</v>
          </cell>
          <cell r="D57">
            <v>2002</v>
          </cell>
          <cell r="E57" t="str">
            <v>Sauber</v>
          </cell>
          <cell r="H57" t="str">
            <v>NO</v>
          </cell>
          <cell r="I57">
            <v>37561</v>
          </cell>
          <cell r="J57">
            <v>12277.25</v>
          </cell>
          <cell r="K57" t="str">
            <v>Trailer</v>
          </cell>
          <cell r="L57" t="str">
            <v>Wire Retriever</v>
          </cell>
          <cell r="M57" t="str">
            <v>Reel Trailer</v>
          </cell>
          <cell r="N57" t="str">
            <v>EL442</v>
          </cell>
          <cell r="O57" t="str">
            <v>Reel Trailer</v>
          </cell>
          <cell r="P57" t="str">
            <v>n/a</v>
          </cell>
        </row>
        <row r="58">
          <cell r="A58">
            <v>962</v>
          </cell>
          <cell r="B58" t="str">
            <v>IGTGG25R821220335</v>
          </cell>
          <cell r="C58" t="str">
            <v>GBF960</v>
          </cell>
          <cell r="D58">
            <v>2002</v>
          </cell>
          <cell r="E58" t="str">
            <v>GMC</v>
          </cell>
          <cell r="F58">
            <v>2500</v>
          </cell>
          <cell r="G58">
            <v>8600</v>
          </cell>
          <cell r="H58" t="str">
            <v>EN440</v>
          </cell>
          <cell r="I58">
            <v>37561</v>
          </cell>
          <cell r="J58">
            <v>21157.1</v>
          </cell>
          <cell r="K58" t="str">
            <v>Van</v>
          </cell>
          <cell r="L58" t="str">
            <v>V8-G</v>
          </cell>
          <cell r="M58" t="str">
            <v>Meter Shop</v>
          </cell>
          <cell r="N58" t="str">
            <v>EN440</v>
          </cell>
          <cell r="O58" t="str">
            <v>Robert See</v>
          </cell>
          <cell r="P58" t="str">
            <v>No</v>
          </cell>
        </row>
        <row r="59">
          <cell r="A59">
            <v>517</v>
          </cell>
          <cell r="B59" t="str">
            <v>1FAFP55S63A113033</v>
          </cell>
          <cell r="C59" t="str">
            <v>739LZE</v>
          </cell>
          <cell r="D59">
            <v>2003</v>
          </cell>
          <cell r="E59" t="str">
            <v>Ford</v>
          </cell>
          <cell r="F59" t="str">
            <v>Taurus</v>
          </cell>
          <cell r="H59" t="str">
            <v>GR410</v>
          </cell>
          <cell r="I59">
            <v>37622</v>
          </cell>
          <cell r="J59">
            <v>20916.3</v>
          </cell>
          <cell r="K59" t="str">
            <v>Automobile</v>
          </cell>
          <cell r="L59" t="str">
            <v>Sedan</v>
          </cell>
          <cell r="M59" t="str">
            <v>Pool Spare</v>
          </cell>
          <cell r="N59" t="str">
            <v>GR410</v>
          </cell>
          <cell r="O59" t="str">
            <v>Pool Spare</v>
          </cell>
          <cell r="P59" t="str">
            <v>No</v>
          </cell>
        </row>
        <row r="60">
          <cell r="A60">
            <v>516</v>
          </cell>
          <cell r="B60" t="str">
            <v>4MNDB182X21002405</v>
          </cell>
          <cell r="C60" t="str">
            <v>GCP638</v>
          </cell>
          <cell r="D60">
            <v>2003</v>
          </cell>
          <cell r="E60" t="str">
            <v>Better Built</v>
          </cell>
          <cell r="F60" t="str">
            <v>1822DT</v>
          </cell>
          <cell r="G60">
            <v>12000</v>
          </cell>
          <cell r="H60" t="str">
            <v>PR410</v>
          </cell>
          <cell r="I60">
            <v>37622</v>
          </cell>
          <cell r="J60">
            <v>3881.22</v>
          </cell>
          <cell r="K60" t="str">
            <v>Trailer</v>
          </cell>
          <cell r="L60" t="str">
            <v>Ingersoll Rand Backhoe</v>
          </cell>
          <cell r="M60" t="str">
            <v>Equipment Trailer</v>
          </cell>
          <cell r="N60" t="str">
            <v>PR410</v>
          </cell>
          <cell r="O60" t="str">
            <v>Equipment Trailer</v>
          </cell>
          <cell r="P60" t="str">
            <v>n/a</v>
          </cell>
        </row>
        <row r="61">
          <cell r="A61">
            <v>523</v>
          </cell>
          <cell r="B61" t="str">
            <v>1HTSCAAMOVH490796</v>
          </cell>
          <cell r="C61" t="str">
            <v>GBF964</v>
          </cell>
          <cell r="D61">
            <v>1997</v>
          </cell>
          <cell r="E61" t="str">
            <v>International</v>
          </cell>
          <cell r="F61">
            <v>4700</v>
          </cell>
          <cell r="G61">
            <v>25500</v>
          </cell>
          <cell r="H61" t="str">
            <v>PR410</v>
          </cell>
          <cell r="I61">
            <v>37726</v>
          </cell>
          <cell r="J61">
            <v>57209.19</v>
          </cell>
          <cell r="K61" t="str">
            <v>Maintenance</v>
          </cell>
          <cell r="L61" t="str">
            <v>Knuckle Boom</v>
          </cell>
          <cell r="M61" t="str">
            <v>Tank Delivery</v>
          </cell>
          <cell r="N61" t="str">
            <v>PR410</v>
          </cell>
          <cell r="O61" t="str">
            <v>Garfield Morgan</v>
          </cell>
          <cell r="P61" t="str">
            <v>No</v>
          </cell>
        </row>
        <row r="62">
          <cell r="A62">
            <v>787</v>
          </cell>
          <cell r="B62" t="str">
            <v>1HTMMAAN12H524433</v>
          </cell>
          <cell r="C62" t="str">
            <v>GA4431</v>
          </cell>
          <cell r="D62">
            <v>2002</v>
          </cell>
          <cell r="E62" t="str">
            <v>International</v>
          </cell>
          <cell r="F62">
            <v>4300</v>
          </cell>
          <cell r="G62">
            <v>33000</v>
          </cell>
          <cell r="H62" t="str">
            <v>PR431</v>
          </cell>
          <cell r="I62">
            <v>37742</v>
          </cell>
          <cell r="J62">
            <v>73740.22</v>
          </cell>
          <cell r="K62" t="str">
            <v>Bobtail</v>
          </cell>
          <cell r="L62" t="str">
            <v>Barrel off 28, Trans W. Ent (1989) 3000 s/n A2569</v>
          </cell>
          <cell r="M62" t="str">
            <v>Bobtail</v>
          </cell>
          <cell r="N62" t="str">
            <v>PR431</v>
          </cell>
          <cell r="O62" t="str">
            <v>Spare</v>
          </cell>
          <cell r="P62" t="str">
            <v>No</v>
          </cell>
        </row>
        <row r="63">
          <cell r="A63">
            <v>519</v>
          </cell>
          <cell r="B63" t="str">
            <v>1GTCS14H938259959</v>
          </cell>
          <cell r="C63" t="str">
            <v>GBD004</v>
          </cell>
          <cell r="D63">
            <v>2003</v>
          </cell>
          <cell r="E63" t="str">
            <v>GMC</v>
          </cell>
          <cell r="F63" t="str">
            <v>Sonoma</v>
          </cell>
          <cell r="H63" t="str">
            <v>SV411</v>
          </cell>
          <cell r="I63">
            <v>37785</v>
          </cell>
          <cell r="J63">
            <v>13042.27</v>
          </cell>
          <cell r="K63" t="str">
            <v>Comp. P/U</v>
          </cell>
          <cell r="L63" t="str">
            <v>I4-G</v>
          </cell>
          <cell r="M63" t="str">
            <v>Service</v>
          </cell>
          <cell r="N63" t="str">
            <v>SV411</v>
          </cell>
          <cell r="O63" t="str">
            <v>Spare</v>
          </cell>
          <cell r="P63" t="str">
            <v>No</v>
          </cell>
        </row>
        <row r="64">
          <cell r="A64">
            <v>143</v>
          </cell>
          <cell r="B64" t="str">
            <v>1FDAF56S13EA32354</v>
          </cell>
          <cell r="C64" t="str">
            <v>GBX316</v>
          </cell>
          <cell r="D64">
            <v>2002</v>
          </cell>
          <cell r="E64" t="str">
            <v>Ford</v>
          </cell>
          <cell r="F64" t="str">
            <v>F550</v>
          </cell>
          <cell r="G64">
            <v>17500</v>
          </cell>
          <cell r="H64" t="str">
            <v>NO</v>
          </cell>
          <cell r="I64">
            <v>37803</v>
          </cell>
          <cell r="J64">
            <v>51148.18</v>
          </cell>
          <cell r="L64" t="str">
            <v>V10-G</v>
          </cell>
          <cell r="M64" t="str">
            <v>I&amp;M</v>
          </cell>
          <cell r="N64" t="str">
            <v>IM430</v>
          </cell>
          <cell r="O64" t="str">
            <v>Unassigned</v>
          </cell>
          <cell r="P64" t="str">
            <v>No</v>
          </cell>
        </row>
        <row r="65">
          <cell r="A65">
            <v>965</v>
          </cell>
          <cell r="B65" t="str">
            <v>1FVABXAK83HK86567</v>
          </cell>
          <cell r="C65" t="str">
            <v>GBP669</v>
          </cell>
          <cell r="D65">
            <v>2003</v>
          </cell>
          <cell r="E65" t="str">
            <v>Freightliner</v>
          </cell>
          <cell r="F65" t="str">
            <v>FL80</v>
          </cell>
          <cell r="G65">
            <v>37000</v>
          </cell>
          <cell r="H65" t="str">
            <v>EL441</v>
          </cell>
          <cell r="I65">
            <v>37803</v>
          </cell>
          <cell r="J65">
            <v>142865.60999999999</v>
          </cell>
          <cell r="K65" t="str">
            <v>Altec</v>
          </cell>
          <cell r="L65" t="str">
            <v>AA755 Bucket</v>
          </cell>
          <cell r="M65" t="str">
            <v>Bucket Truck</v>
          </cell>
          <cell r="N65" t="str">
            <v>EL441</v>
          </cell>
          <cell r="O65" t="str">
            <v>Charles Hall</v>
          </cell>
          <cell r="P65" t="str">
            <v>No</v>
          </cell>
        </row>
        <row r="66">
          <cell r="A66">
            <v>790</v>
          </cell>
          <cell r="B66" t="str">
            <v>4CZPA27103124F009</v>
          </cell>
          <cell r="C66" t="str">
            <v>GBP173</v>
          </cell>
          <cell r="D66">
            <v>2003</v>
          </cell>
          <cell r="E66" t="str">
            <v>CZ</v>
          </cell>
          <cell r="F66" t="str">
            <v>CZ12KP</v>
          </cell>
          <cell r="G66" t="str">
            <v>n/a</v>
          </cell>
          <cell r="H66" t="str">
            <v>EL451</v>
          </cell>
          <cell r="I66">
            <v>37834</v>
          </cell>
          <cell r="J66">
            <v>8070.44</v>
          </cell>
          <cell r="K66" t="str">
            <v>Trailer</v>
          </cell>
          <cell r="M66" t="str">
            <v>Pole Trailer</v>
          </cell>
          <cell r="N66" t="str">
            <v> EL451</v>
          </cell>
          <cell r="O66" t="str">
            <v>Pole Trailer</v>
          </cell>
          <cell r="P66" t="str">
            <v>n/a</v>
          </cell>
        </row>
        <row r="67">
          <cell r="A67">
            <v>39</v>
          </cell>
          <cell r="B67" t="str">
            <v>1HTMMAAN94H615193</v>
          </cell>
          <cell r="C67" t="str">
            <v>GBP658</v>
          </cell>
          <cell r="D67">
            <v>2003</v>
          </cell>
          <cell r="E67" t="str">
            <v>International</v>
          </cell>
          <cell r="F67">
            <v>4300</v>
          </cell>
          <cell r="G67">
            <v>32900</v>
          </cell>
          <cell r="H67" t="str">
            <v>PR410</v>
          </cell>
          <cell r="I67">
            <v>37872</v>
          </cell>
          <cell r="J67">
            <v>80344.070000000007</v>
          </cell>
          <cell r="K67" t="str">
            <v>Bobtail</v>
          </cell>
          <cell r="L67" t="str">
            <v>Ntl Butane (7/91) 3499 s/n B03934</v>
          </cell>
          <cell r="M67" t="str">
            <v>Bobtail</v>
          </cell>
          <cell r="N67" t="str">
            <v>PR410</v>
          </cell>
          <cell r="O67" t="str">
            <v>Ray Esparza</v>
          </cell>
          <cell r="P67" t="str">
            <v>No</v>
          </cell>
        </row>
        <row r="68">
          <cell r="A68">
            <v>968</v>
          </cell>
          <cell r="B68" t="str">
            <v>1FVABXAK64DM18623</v>
          </cell>
          <cell r="C68" t="str">
            <v>GBP630</v>
          </cell>
          <cell r="D68">
            <v>2004</v>
          </cell>
          <cell r="E68" t="str">
            <v>Freightliner</v>
          </cell>
          <cell r="G68">
            <v>37600</v>
          </cell>
          <cell r="H68" t="str">
            <v>EL442</v>
          </cell>
          <cell r="I68">
            <v>37895</v>
          </cell>
          <cell r="J68">
            <v>128325</v>
          </cell>
          <cell r="K68" t="str">
            <v>Altec</v>
          </cell>
          <cell r="L68" t="str">
            <v>AA500</v>
          </cell>
          <cell r="M68" t="str">
            <v>Bucket Truck</v>
          </cell>
          <cell r="N68" t="str">
            <v>EL442</v>
          </cell>
          <cell r="O68" t="str">
            <v>Alvin Foran</v>
          </cell>
          <cell r="P68" t="str">
            <v>No</v>
          </cell>
        </row>
        <row r="69">
          <cell r="A69">
            <v>967</v>
          </cell>
          <cell r="B69" t="str">
            <v>1GTEC14X93Z231148</v>
          </cell>
          <cell r="C69" t="str">
            <v>GBD007</v>
          </cell>
          <cell r="D69">
            <v>2003</v>
          </cell>
          <cell r="E69" t="str">
            <v>GMC</v>
          </cell>
          <cell r="F69">
            <v>1500</v>
          </cell>
          <cell r="G69">
            <v>6100</v>
          </cell>
          <cell r="H69" t="str">
            <v>EL442</v>
          </cell>
          <cell r="I69">
            <v>37895</v>
          </cell>
          <cell r="J69">
            <v>17823.330000000002</v>
          </cell>
          <cell r="K69" t="str">
            <v>Pickup</v>
          </cell>
          <cell r="M69" t="str">
            <v>Service</v>
          </cell>
          <cell r="N69" t="str">
            <v>EL442</v>
          </cell>
          <cell r="O69" t="str">
            <v>Claude Holden</v>
          </cell>
          <cell r="P69" t="str">
            <v>No</v>
          </cell>
        </row>
        <row r="70">
          <cell r="A70">
            <v>966</v>
          </cell>
          <cell r="B70" t="str">
            <v>1GTEC14XX3Z307833</v>
          </cell>
          <cell r="C70" t="str">
            <v>GBD008</v>
          </cell>
          <cell r="D70">
            <v>2003</v>
          </cell>
          <cell r="E70" t="str">
            <v>GMC</v>
          </cell>
          <cell r="F70">
            <v>1500</v>
          </cell>
          <cell r="G70">
            <v>6100</v>
          </cell>
          <cell r="H70" t="str">
            <v>EL442</v>
          </cell>
          <cell r="I70">
            <v>37895</v>
          </cell>
          <cell r="J70">
            <v>17823.34</v>
          </cell>
          <cell r="K70" t="str">
            <v>Pickup</v>
          </cell>
          <cell r="M70" t="str">
            <v>Service</v>
          </cell>
          <cell r="N70" t="str">
            <v>EL442</v>
          </cell>
          <cell r="O70" t="str">
            <v>Jeremy Hill</v>
          </cell>
          <cell r="P70" t="str">
            <v>No</v>
          </cell>
        </row>
        <row r="71">
          <cell r="A71">
            <v>522</v>
          </cell>
          <cell r="B71" t="str">
            <v>1GDE5C1E84F501445</v>
          </cell>
          <cell r="C71" t="str">
            <v>GBF910</v>
          </cell>
          <cell r="D71">
            <v>2004</v>
          </cell>
          <cell r="E71" t="str">
            <v>GMC</v>
          </cell>
          <cell r="F71">
            <v>5500</v>
          </cell>
          <cell r="G71">
            <v>19500</v>
          </cell>
          <cell r="H71" t="str">
            <v>IM410</v>
          </cell>
          <cell r="I71">
            <v>37915</v>
          </cell>
          <cell r="J71">
            <v>38793.17</v>
          </cell>
          <cell r="K71" t="str">
            <v>Utility</v>
          </cell>
          <cell r="L71" t="str">
            <v>8.1L V8-G, Meter Shop</v>
          </cell>
          <cell r="M71" t="str">
            <v>Large Meter Set</v>
          </cell>
          <cell r="N71" t="str">
            <v>IM410</v>
          </cell>
          <cell r="O71" t="str">
            <v>I&amp;M</v>
          </cell>
          <cell r="P71" t="str">
            <v>No</v>
          </cell>
        </row>
        <row r="72">
          <cell r="A72">
            <v>525</v>
          </cell>
          <cell r="B72" t="str">
            <v>1GDHC29U44E178686</v>
          </cell>
          <cell r="C72" t="str">
            <v>GBC903</v>
          </cell>
          <cell r="D72">
            <v>2004</v>
          </cell>
          <cell r="E72" t="str">
            <v>GMC</v>
          </cell>
          <cell r="F72">
            <v>2500</v>
          </cell>
          <cell r="G72">
            <v>9200</v>
          </cell>
          <cell r="H72" t="str">
            <v>SY410</v>
          </cell>
          <cell r="I72">
            <v>37949</v>
          </cell>
          <cell r="J72">
            <v>27139.13</v>
          </cell>
          <cell r="K72" t="str">
            <v>Utility</v>
          </cell>
          <cell r="L72" t="str">
            <v>6.0L V8-G, Ext. Cab, SysOp</v>
          </cell>
          <cell r="M72" t="str">
            <v>Sys Ops</v>
          </cell>
          <cell r="N72" t="str">
            <v>SY410</v>
          </cell>
          <cell r="O72" t="str">
            <v>James Laub</v>
          </cell>
          <cell r="P72" t="str">
            <v>No</v>
          </cell>
        </row>
        <row r="73">
          <cell r="A73">
            <v>524</v>
          </cell>
          <cell r="B73" t="str">
            <v>1GDHC29U84E176407</v>
          </cell>
          <cell r="C73" t="str">
            <v>GBC931</v>
          </cell>
          <cell r="D73">
            <v>2004</v>
          </cell>
          <cell r="E73" t="str">
            <v>GMC</v>
          </cell>
          <cell r="F73">
            <v>2500</v>
          </cell>
          <cell r="G73">
            <v>9200</v>
          </cell>
          <cell r="H73" t="str">
            <v>SY410</v>
          </cell>
          <cell r="I73">
            <v>37949</v>
          </cell>
          <cell r="J73">
            <v>27139.13</v>
          </cell>
          <cell r="K73" t="str">
            <v>Utility</v>
          </cell>
          <cell r="L73" t="str">
            <v>6.0L V8-G, Ext. Cab, SysOp</v>
          </cell>
          <cell r="M73" t="str">
            <v>Sys Ops</v>
          </cell>
          <cell r="N73" t="str">
            <v>SY410</v>
          </cell>
          <cell r="O73" t="str">
            <v>Jose Rosales</v>
          </cell>
          <cell r="P73" t="str">
            <v>No</v>
          </cell>
        </row>
        <row r="74">
          <cell r="A74">
            <v>527</v>
          </cell>
          <cell r="B74" t="str">
            <v>1GDHC29U84E225900</v>
          </cell>
          <cell r="C74" t="str">
            <v>GBF967</v>
          </cell>
          <cell r="D74">
            <v>2004</v>
          </cell>
          <cell r="E74" t="str">
            <v>GMC</v>
          </cell>
          <cell r="F74">
            <v>2500</v>
          </cell>
          <cell r="G74">
            <v>9200</v>
          </cell>
          <cell r="H74" t="str">
            <v>NO</v>
          </cell>
          <cell r="I74">
            <v>37949</v>
          </cell>
          <cell r="J74">
            <v>28106.79</v>
          </cell>
          <cell r="K74" t="str">
            <v>Utility</v>
          </cell>
          <cell r="L74" t="str">
            <v>6.0L V8-G, Ext. Cab</v>
          </cell>
          <cell r="M74" t="str">
            <v>Service</v>
          </cell>
          <cell r="N74" t="str">
            <v>SV411</v>
          </cell>
          <cell r="O74" t="str">
            <v>Rick Castellanos</v>
          </cell>
          <cell r="P74" t="str">
            <v>No</v>
          </cell>
        </row>
        <row r="75">
          <cell r="A75">
            <v>148</v>
          </cell>
          <cell r="B75" t="str">
            <v>1DSB071A3317X0017</v>
          </cell>
          <cell r="C75" t="str">
            <v>GBF905</v>
          </cell>
          <cell r="D75">
            <v>2003</v>
          </cell>
          <cell r="H75" t="str">
            <v>IM430</v>
          </cell>
          <cell r="I75">
            <v>37956</v>
          </cell>
          <cell r="J75">
            <v>1673.76</v>
          </cell>
          <cell r="K75" t="str">
            <v>Trailer</v>
          </cell>
          <cell r="L75" t="str">
            <v>Open, Ditch Witch</v>
          </cell>
          <cell r="M75" t="str">
            <v>Equipment Trailer</v>
          </cell>
          <cell r="N75" t="str">
            <v>IM430</v>
          </cell>
          <cell r="O75" t="str">
            <v>Ditch Witch Trailer</v>
          </cell>
          <cell r="P75" t="str">
            <v>n/a</v>
          </cell>
        </row>
        <row r="76">
          <cell r="A76">
            <v>969</v>
          </cell>
          <cell r="B76" t="str">
            <v>1FVHCYAK34HM63447</v>
          </cell>
          <cell r="C76" t="str">
            <v>GBP666</v>
          </cell>
          <cell r="D76">
            <v>2004</v>
          </cell>
          <cell r="E76" t="str">
            <v>Freightliner</v>
          </cell>
          <cell r="F76" t="str">
            <v>BCM2</v>
          </cell>
          <cell r="G76">
            <v>58000</v>
          </cell>
          <cell r="H76" t="str">
            <v>EL441</v>
          </cell>
          <cell r="I76">
            <v>37956</v>
          </cell>
          <cell r="J76">
            <v>195455.98</v>
          </cell>
          <cell r="K76" t="str">
            <v>Altec</v>
          </cell>
          <cell r="L76" t="str">
            <v>Derrick Digger, Altec D4050TR s/n 0803CK0343</v>
          </cell>
          <cell r="M76" t="str">
            <v>Digger Derrick</v>
          </cell>
          <cell r="N76" t="str">
            <v>EL441</v>
          </cell>
          <cell r="O76" t="str">
            <v>John Sims</v>
          </cell>
          <cell r="P76" t="str">
            <v>No</v>
          </cell>
        </row>
        <row r="77">
          <cell r="A77">
            <v>531</v>
          </cell>
          <cell r="B77" t="str">
            <v>1GTEC19T04Z180436</v>
          </cell>
          <cell r="C77" t="str">
            <v>H798KK</v>
          </cell>
          <cell r="D77">
            <v>2004</v>
          </cell>
          <cell r="E77" t="str">
            <v>GMC</v>
          </cell>
          <cell r="F77">
            <v>1500</v>
          </cell>
          <cell r="G77">
            <v>6200</v>
          </cell>
          <cell r="H77" t="str">
            <v>IM410</v>
          </cell>
          <cell r="I77">
            <v>37970</v>
          </cell>
          <cell r="J77">
            <v>19407.310000000001</v>
          </cell>
          <cell r="K77" t="str">
            <v>Pickup</v>
          </cell>
          <cell r="L77" t="str">
            <v>5.3L V8-G, Ext. Cab</v>
          </cell>
          <cell r="M77" t="str">
            <v>I&amp;M Mgr</v>
          </cell>
          <cell r="N77" t="str">
            <v>IM410</v>
          </cell>
          <cell r="O77" t="str">
            <v>Walter Rossetto</v>
          </cell>
          <cell r="P77" t="str">
            <v>YES</v>
          </cell>
        </row>
        <row r="78">
          <cell r="A78">
            <v>530</v>
          </cell>
          <cell r="B78" t="str">
            <v>1GTEC19T44Z179452</v>
          </cell>
          <cell r="C78" t="str">
            <v>H797KK</v>
          </cell>
          <cell r="D78">
            <v>2004</v>
          </cell>
          <cell r="E78" t="str">
            <v>GMC</v>
          </cell>
          <cell r="F78">
            <v>1500</v>
          </cell>
          <cell r="G78">
            <v>6200</v>
          </cell>
          <cell r="H78" t="str">
            <v>SV410</v>
          </cell>
          <cell r="I78">
            <v>37970</v>
          </cell>
          <cell r="J78">
            <v>19392.16</v>
          </cell>
          <cell r="K78" t="str">
            <v>Pickup</v>
          </cell>
          <cell r="L78" t="str">
            <v>5.3L V8-G, Ext. Cab</v>
          </cell>
          <cell r="M78" t="str">
            <v>Ops Mgr</v>
          </cell>
          <cell r="N78" t="str">
            <v>SV410</v>
          </cell>
          <cell r="O78" t="str">
            <v>Doug Moreland</v>
          </cell>
          <cell r="P78" t="str">
            <v>YES</v>
          </cell>
        </row>
        <row r="79">
          <cell r="A79">
            <v>145</v>
          </cell>
          <cell r="B79" t="str">
            <v>1HTMMAAN74H615192</v>
          </cell>
          <cell r="C79" t="str">
            <v>GBP664</v>
          </cell>
          <cell r="D79">
            <v>2003</v>
          </cell>
          <cell r="E79" t="str">
            <v>International</v>
          </cell>
          <cell r="F79">
            <v>4300</v>
          </cell>
          <cell r="G79">
            <v>32900</v>
          </cell>
          <cell r="H79" t="str">
            <v>PR431</v>
          </cell>
          <cell r="I79">
            <v>38018</v>
          </cell>
          <cell r="J79">
            <v>84707.839999999997</v>
          </cell>
          <cell r="K79" t="str">
            <v>Bobtail</v>
          </cell>
          <cell r="L79" t="str">
            <v>Trinity (1990) 3000 s/n 118003</v>
          </cell>
          <cell r="M79" t="str">
            <v>Bobtail</v>
          </cell>
          <cell r="N79" t="str">
            <v>PR431</v>
          </cell>
          <cell r="O79" t="str">
            <v>Keith Hall</v>
          </cell>
          <cell r="P79" t="str">
            <v>No</v>
          </cell>
        </row>
        <row r="80">
          <cell r="A80">
            <v>151</v>
          </cell>
          <cell r="B80" t="str">
            <v>1FDAF56P43ED34605</v>
          </cell>
          <cell r="C80" t="str">
            <v>GBX317</v>
          </cell>
          <cell r="D80">
            <v>2003</v>
          </cell>
          <cell r="E80" t="str">
            <v>Ford</v>
          </cell>
          <cell r="F80" t="str">
            <v>F550</v>
          </cell>
          <cell r="G80">
            <v>17500</v>
          </cell>
          <cell r="H80" t="str">
            <v>IM430</v>
          </cell>
          <cell r="I80">
            <v>38078</v>
          </cell>
          <cell r="J80">
            <v>59855.79</v>
          </cell>
          <cell r="L80" t="str">
            <v>V8-D</v>
          </cell>
          <cell r="M80" t="str">
            <v>I&amp;M</v>
          </cell>
          <cell r="N80" t="str">
            <v>IM430</v>
          </cell>
          <cell r="O80" t="str">
            <v>Ron Stafford</v>
          </cell>
          <cell r="P80" t="str">
            <v>No</v>
          </cell>
        </row>
        <row r="81">
          <cell r="A81">
            <v>533</v>
          </cell>
          <cell r="B81" t="str">
            <v>16JF0162031038518</v>
          </cell>
          <cell r="C81" t="str">
            <v>GCP639</v>
          </cell>
          <cell r="D81">
            <v>2003</v>
          </cell>
          <cell r="E81" t="str">
            <v>BEHL</v>
          </cell>
          <cell r="H81" t="str">
            <v>IM410</v>
          </cell>
          <cell r="I81">
            <v>38097</v>
          </cell>
          <cell r="J81">
            <v>3274.77</v>
          </cell>
          <cell r="K81" t="str">
            <v>Trailer</v>
          </cell>
          <cell r="L81" t="str">
            <v>Trencher - Case 460</v>
          </cell>
          <cell r="M81" t="str">
            <v>Equipment Trailer</v>
          </cell>
          <cell r="N81" t="str">
            <v>IM410</v>
          </cell>
          <cell r="O81" t="str">
            <v>Equipment Trailer</v>
          </cell>
          <cell r="P81" t="str">
            <v>n/a</v>
          </cell>
        </row>
        <row r="82">
          <cell r="A82">
            <v>792</v>
          </cell>
          <cell r="B82" t="str">
            <v>1HTWBAAN44J023630</v>
          </cell>
          <cell r="C82" t="str">
            <v>GBP902</v>
          </cell>
          <cell r="D82">
            <v>2004</v>
          </cell>
          <cell r="E82" t="str">
            <v>International</v>
          </cell>
          <cell r="F82">
            <v>4300</v>
          </cell>
          <cell r="G82">
            <v>33000</v>
          </cell>
          <cell r="H82" t="str">
            <v>EL452</v>
          </cell>
          <cell r="I82">
            <v>38108</v>
          </cell>
          <cell r="J82">
            <v>136513.35</v>
          </cell>
          <cell r="K82" t="str">
            <v>Bucket</v>
          </cell>
          <cell r="L82" t="str">
            <v>Altec L42M</v>
          </cell>
          <cell r="M82" t="str">
            <v>Bucket Truck</v>
          </cell>
          <cell r="N82" t="str">
            <v> EL452</v>
          </cell>
          <cell r="O82" t="str">
            <v>Steve Taylor</v>
          </cell>
          <cell r="P82" t="str">
            <v>No</v>
          </cell>
        </row>
        <row r="83">
          <cell r="A83">
            <v>534</v>
          </cell>
          <cell r="B83" t="str">
            <v>1GDHC29U44E319787</v>
          </cell>
          <cell r="C83" t="str">
            <v>GBC899</v>
          </cell>
          <cell r="D83">
            <v>2004</v>
          </cell>
          <cell r="E83" t="str">
            <v>GMC</v>
          </cell>
          <cell r="F83">
            <v>2500</v>
          </cell>
          <cell r="G83">
            <v>9200</v>
          </cell>
          <cell r="H83" t="str">
            <v>SY410</v>
          </cell>
          <cell r="I83">
            <v>38169</v>
          </cell>
          <cell r="J83">
            <v>28038.53</v>
          </cell>
          <cell r="K83" t="str">
            <v>Utility</v>
          </cell>
          <cell r="L83" t="str">
            <v>6.0L V8-G, Ext. Cab, SysOp</v>
          </cell>
          <cell r="M83" t="str">
            <v>Sys Ops</v>
          </cell>
          <cell r="N83" t="str">
            <v>SY410</v>
          </cell>
          <cell r="O83" t="str">
            <v>Brad Collins</v>
          </cell>
          <cell r="P83" t="str">
            <v>No</v>
          </cell>
        </row>
        <row r="84">
          <cell r="A84">
            <v>541</v>
          </cell>
          <cell r="B84" t="str">
            <v>1GTCS148048205936</v>
          </cell>
          <cell r="C84" t="str">
            <v>GBC901</v>
          </cell>
          <cell r="D84">
            <v>2004</v>
          </cell>
          <cell r="E84" t="str">
            <v>GMC</v>
          </cell>
          <cell r="F84" t="str">
            <v>Canyon</v>
          </cell>
          <cell r="H84" t="str">
            <v>SV411</v>
          </cell>
          <cell r="I84">
            <v>38169</v>
          </cell>
          <cell r="J84">
            <v>13524.39</v>
          </cell>
          <cell r="K84" t="str">
            <v>Comp. P/U</v>
          </cell>
          <cell r="L84" t="str">
            <v>Std. Cab</v>
          </cell>
          <cell r="M84" t="str">
            <v>Collector</v>
          </cell>
          <cell r="N84" t="str">
            <v>SV411</v>
          </cell>
          <cell r="O84" t="str">
            <v>David Montgomery</v>
          </cell>
          <cell r="P84" t="str">
            <v>No</v>
          </cell>
        </row>
        <row r="85">
          <cell r="A85">
            <v>540</v>
          </cell>
          <cell r="B85" t="str">
            <v>1GTCS148248200821</v>
          </cell>
          <cell r="C85" t="str">
            <v>GBC898</v>
          </cell>
          <cell r="D85">
            <v>2004</v>
          </cell>
          <cell r="E85" t="str">
            <v>GMC</v>
          </cell>
          <cell r="F85" t="str">
            <v>Canyon</v>
          </cell>
          <cell r="H85" t="str">
            <v>SV411</v>
          </cell>
          <cell r="I85">
            <v>38169</v>
          </cell>
          <cell r="J85">
            <v>13524.4</v>
          </cell>
          <cell r="K85" t="str">
            <v>Comp. P/U</v>
          </cell>
          <cell r="L85" t="str">
            <v>Std. Cab</v>
          </cell>
          <cell r="M85" t="str">
            <v>Collector</v>
          </cell>
          <cell r="N85" t="str">
            <v>SV411</v>
          </cell>
          <cell r="O85" t="str">
            <v>Marilyn Parrish</v>
          </cell>
          <cell r="P85" t="str">
            <v>No</v>
          </cell>
        </row>
        <row r="86">
          <cell r="A86">
            <v>538</v>
          </cell>
          <cell r="B86" t="str">
            <v>1GTEC19T34Z316994</v>
          </cell>
          <cell r="C86" t="str">
            <v>GBP941</v>
          </cell>
          <cell r="D86">
            <v>2004</v>
          </cell>
          <cell r="E86" t="str">
            <v>GMC</v>
          </cell>
          <cell r="F86">
            <v>1500</v>
          </cell>
          <cell r="G86">
            <v>6200</v>
          </cell>
          <cell r="H86" t="str">
            <v>SY410</v>
          </cell>
          <cell r="I86">
            <v>38169</v>
          </cell>
          <cell r="J86">
            <v>19031.080000000002</v>
          </cell>
          <cell r="K86" t="str">
            <v>Pickup</v>
          </cell>
          <cell r="L86" t="str">
            <v>5.3L V8-G, Ext. Cab</v>
          </cell>
          <cell r="M86" t="str">
            <v>Sys Ops Supv</v>
          </cell>
          <cell r="N86" t="str">
            <v>SY410</v>
          </cell>
          <cell r="O86" t="str">
            <v>James Rolle</v>
          </cell>
          <cell r="P86" t="str">
            <v>YES</v>
          </cell>
        </row>
        <row r="87">
          <cell r="A87">
            <v>536</v>
          </cell>
          <cell r="B87" t="str">
            <v>1GTEC19T84Z313671</v>
          </cell>
          <cell r="C87" t="str">
            <v>GBC884</v>
          </cell>
          <cell r="D87">
            <v>2004</v>
          </cell>
          <cell r="E87" t="str">
            <v>GMC</v>
          </cell>
          <cell r="F87">
            <v>1500</v>
          </cell>
          <cell r="G87">
            <v>6200</v>
          </cell>
          <cell r="H87" t="str">
            <v>SV410</v>
          </cell>
          <cell r="I87">
            <v>38169</v>
          </cell>
          <cell r="J87">
            <v>18913.97</v>
          </cell>
          <cell r="K87" t="str">
            <v>Pickup</v>
          </cell>
          <cell r="L87" t="str">
            <v>5.3L V8-G, Ext. Cab</v>
          </cell>
          <cell r="M87" t="str">
            <v>Asst Ops Mgr</v>
          </cell>
          <cell r="N87" t="str">
            <v>SV410</v>
          </cell>
          <cell r="O87" t="str">
            <v>Duane Lewis</v>
          </cell>
          <cell r="P87" t="str">
            <v>YES</v>
          </cell>
        </row>
        <row r="88">
          <cell r="A88">
            <v>544</v>
          </cell>
          <cell r="B88" t="str">
            <v>1GTGG29V541215295</v>
          </cell>
          <cell r="C88" t="str">
            <v>GBP949</v>
          </cell>
          <cell r="D88">
            <v>2004</v>
          </cell>
          <cell r="E88" t="str">
            <v>GMC</v>
          </cell>
          <cell r="F88" t="str">
            <v>Savana 2500</v>
          </cell>
          <cell r="G88">
            <v>8600</v>
          </cell>
          <cell r="H88" t="str">
            <v>IM410</v>
          </cell>
          <cell r="I88">
            <v>38219</v>
          </cell>
          <cell r="J88">
            <v>20351.98</v>
          </cell>
          <cell r="K88" t="str">
            <v>Van</v>
          </cell>
          <cell r="L88" t="str">
            <v>Emergency</v>
          </cell>
          <cell r="M88" t="str">
            <v>I&amp;M On-Call</v>
          </cell>
          <cell r="N88" t="str">
            <v>IM410</v>
          </cell>
          <cell r="O88" t="str">
            <v>I&amp;M Emergency Van</v>
          </cell>
          <cell r="P88" t="str">
            <v>No</v>
          </cell>
        </row>
        <row r="89">
          <cell r="A89">
            <v>545</v>
          </cell>
          <cell r="B89" t="str">
            <v>1GDHC29U44E389032</v>
          </cell>
          <cell r="C89" t="str">
            <v>GBP953</v>
          </cell>
          <cell r="D89">
            <v>2004</v>
          </cell>
          <cell r="E89" t="str">
            <v>GMC</v>
          </cell>
          <cell r="F89">
            <v>2500</v>
          </cell>
          <cell r="G89">
            <v>9200</v>
          </cell>
          <cell r="H89" t="str">
            <v>SV411</v>
          </cell>
          <cell r="I89">
            <v>38225</v>
          </cell>
          <cell r="J89">
            <v>28470.49</v>
          </cell>
          <cell r="K89" t="str">
            <v>Utility</v>
          </cell>
          <cell r="L89" t="str">
            <v>6.0L V8-G, Ext. Cab</v>
          </cell>
          <cell r="M89" t="str">
            <v>Service</v>
          </cell>
          <cell r="N89" t="str">
            <v>SV411</v>
          </cell>
          <cell r="O89" t="str">
            <v>Fred Russel</v>
          </cell>
          <cell r="P89" t="str">
            <v>No</v>
          </cell>
        </row>
        <row r="90">
          <cell r="A90">
            <v>546</v>
          </cell>
          <cell r="B90" t="str">
            <v>1GDHC29U64E390778</v>
          </cell>
          <cell r="C90" t="str">
            <v>GBP952</v>
          </cell>
          <cell r="D90">
            <v>2004</v>
          </cell>
          <cell r="E90" t="str">
            <v>GMC</v>
          </cell>
          <cell r="F90">
            <v>2500</v>
          </cell>
          <cell r="G90">
            <v>9200</v>
          </cell>
          <cell r="H90" t="str">
            <v>SV411</v>
          </cell>
          <cell r="I90">
            <v>38225</v>
          </cell>
          <cell r="J90">
            <v>28470.49</v>
          </cell>
          <cell r="K90" t="str">
            <v>Utility</v>
          </cell>
          <cell r="L90" t="str">
            <v>6.0L V8-G, Ext. Cab</v>
          </cell>
          <cell r="M90" t="str">
            <v>Service</v>
          </cell>
          <cell r="N90" t="str">
            <v>SV411</v>
          </cell>
          <cell r="O90" t="str">
            <v>Joe Erdek</v>
          </cell>
          <cell r="P90" t="str">
            <v>No</v>
          </cell>
        </row>
        <row r="91">
          <cell r="A91">
            <v>547</v>
          </cell>
          <cell r="B91" t="str">
            <v>1GDHC29U14E387187</v>
          </cell>
          <cell r="C91" t="str">
            <v>GBP955</v>
          </cell>
          <cell r="D91">
            <v>2004</v>
          </cell>
          <cell r="E91" t="str">
            <v>GMC</v>
          </cell>
          <cell r="F91">
            <v>2500</v>
          </cell>
          <cell r="G91">
            <v>9200</v>
          </cell>
          <cell r="H91" t="str">
            <v>SV411</v>
          </cell>
          <cell r="I91">
            <v>38243</v>
          </cell>
          <cell r="J91">
            <v>28470.49</v>
          </cell>
          <cell r="K91" t="str">
            <v>Utility</v>
          </cell>
          <cell r="L91" t="str">
            <v>6.0L V8-G, Ext. Cab</v>
          </cell>
          <cell r="M91" t="str">
            <v>Service</v>
          </cell>
          <cell r="N91" t="str">
            <v>SV411</v>
          </cell>
          <cell r="O91" t="str">
            <v>Rocco Tamayo</v>
          </cell>
          <cell r="P91" t="str">
            <v>No</v>
          </cell>
        </row>
        <row r="92">
          <cell r="A92">
            <v>579</v>
          </cell>
          <cell r="B92" t="str">
            <v>1GDHC29U34E387210</v>
          </cell>
          <cell r="C92" t="str">
            <v>GBP950</v>
          </cell>
          <cell r="D92">
            <v>2004</v>
          </cell>
          <cell r="E92" t="str">
            <v>GMC</v>
          </cell>
          <cell r="F92">
            <v>2500</v>
          </cell>
          <cell r="G92">
            <v>9200</v>
          </cell>
          <cell r="H92" t="str">
            <v>SV411</v>
          </cell>
          <cell r="I92">
            <v>38243</v>
          </cell>
          <cell r="J92">
            <v>28470.49</v>
          </cell>
          <cell r="K92" t="str">
            <v>Utility</v>
          </cell>
          <cell r="L92" t="str">
            <v>6.0L V8-G, Ext. Cab</v>
          </cell>
          <cell r="M92" t="str">
            <v>Service</v>
          </cell>
          <cell r="N92" t="str">
            <v>SV411</v>
          </cell>
          <cell r="O92" t="str">
            <v>Spare</v>
          </cell>
          <cell r="P92" t="str">
            <v>No</v>
          </cell>
        </row>
        <row r="93">
          <cell r="A93">
            <v>607</v>
          </cell>
          <cell r="B93" t="str">
            <v>1FDAF56S14ED20960</v>
          </cell>
          <cell r="C93" t="str">
            <v>GBF918</v>
          </cell>
          <cell r="D93">
            <v>2004</v>
          </cell>
          <cell r="E93" t="str">
            <v>Ford</v>
          </cell>
          <cell r="F93" t="str">
            <v>F550</v>
          </cell>
          <cell r="G93">
            <v>19000</v>
          </cell>
          <cell r="H93" t="str">
            <v>PR410</v>
          </cell>
          <cell r="I93">
            <v>38322</v>
          </cell>
          <cell r="J93">
            <v>31122.84</v>
          </cell>
          <cell r="K93" t="str">
            <v>Flatbed</v>
          </cell>
          <cell r="L93" t="str">
            <v>Cylinder Truck, 6006EH Crane, Liftgate, Old CF 152 / NE 799</v>
          </cell>
          <cell r="M93" t="str">
            <v>Tank Delivery</v>
          </cell>
          <cell r="N93" t="str">
            <v>PR410</v>
          </cell>
          <cell r="O93" t="str">
            <v>Mike Douglas</v>
          </cell>
          <cell r="P93" t="str">
            <v>No</v>
          </cell>
        </row>
        <row r="94">
          <cell r="A94">
            <v>552</v>
          </cell>
          <cell r="B94" t="str">
            <v>1GDE5C1E05F507340</v>
          </cell>
          <cell r="C94" t="str">
            <v>GBU410</v>
          </cell>
          <cell r="D94">
            <v>2005</v>
          </cell>
          <cell r="E94" t="str">
            <v>GMC</v>
          </cell>
          <cell r="F94">
            <v>5500</v>
          </cell>
          <cell r="G94">
            <v>19500</v>
          </cell>
          <cell r="H94" t="str">
            <v>IM410</v>
          </cell>
          <cell r="I94">
            <v>38328</v>
          </cell>
          <cell r="J94">
            <v>40133.839999999997</v>
          </cell>
          <cell r="K94" t="str">
            <v>Utility</v>
          </cell>
          <cell r="L94" t="str">
            <v>8.1L V8-G, I&amp;M</v>
          </cell>
          <cell r="M94" t="str">
            <v>I&amp;M</v>
          </cell>
          <cell r="N94" t="str">
            <v>IM410</v>
          </cell>
          <cell r="O94" t="str">
            <v>Andre Williams</v>
          </cell>
          <cell r="P94" t="str">
            <v>No</v>
          </cell>
        </row>
        <row r="95">
          <cell r="A95">
            <v>551</v>
          </cell>
          <cell r="B95" t="str">
            <v>1GDE5C1E75F506654</v>
          </cell>
          <cell r="C95" t="str">
            <v>GBU408</v>
          </cell>
          <cell r="D95">
            <v>2005</v>
          </cell>
          <cell r="E95" t="str">
            <v>GMC</v>
          </cell>
          <cell r="F95">
            <v>5500</v>
          </cell>
          <cell r="G95">
            <v>19500</v>
          </cell>
          <cell r="H95" t="str">
            <v>IM410</v>
          </cell>
          <cell r="I95">
            <v>38328</v>
          </cell>
          <cell r="J95">
            <v>40155.21</v>
          </cell>
          <cell r="K95" t="str">
            <v>Utility</v>
          </cell>
          <cell r="L95" t="str">
            <v>8.1L V8-G, I&amp;M</v>
          </cell>
          <cell r="M95" t="str">
            <v>I&amp;M</v>
          </cell>
          <cell r="N95" t="str">
            <v>IM410</v>
          </cell>
          <cell r="O95" t="str">
            <v>Spare</v>
          </cell>
          <cell r="P95" t="str">
            <v>No</v>
          </cell>
        </row>
        <row r="96">
          <cell r="A96">
            <v>553</v>
          </cell>
          <cell r="B96" t="str">
            <v>1GDE5C1E75F507514</v>
          </cell>
          <cell r="C96" t="str">
            <v>GBU409</v>
          </cell>
          <cell r="D96">
            <v>2005</v>
          </cell>
          <cell r="E96" t="str">
            <v>GMC</v>
          </cell>
          <cell r="F96">
            <v>5500</v>
          </cell>
          <cell r="G96">
            <v>19500</v>
          </cell>
          <cell r="H96" t="str">
            <v>IM410</v>
          </cell>
          <cell r="I96">
            <v>38328</v>
          </cell>
          <cell r="J96">
            <v>40133.85</v>
          </cell>
          <cell r="K96" t="str">
            <v>Utility</v>
          </cell>
          <cell r="L96" t="str">
            <v>8.1L V8-G, I&amp;M</v>
          </cell>
          <cell r="M96" t="str">
            <v>I&amp;M</v>
          </cell>
          <cell r="N96" t="str">
            <v>IM410</v>
          </cell>
          <cell r="O96" t="str">
            <v>Pablo Castro</v>
          </cell>
          <cell r="P96" t="str">
            <v>No</v>
          </cell>
        </row>
        <row r="97">
          <cell r="A97">
            <v>156</v>
          </cell>
          <cell r="B97" t="str">
            <v>1FDAF56S84ED64356</v>
          </cell>
          <cell r="C97" t="str">
            <v>GBC881</v>
          </cell>
          <cell r="D97">
            <v>2004</v>
          </cell>
          <cell r="E97" t="str">
            <v>Ford</v>
          </cell>
          <cell r="F97" t="str">
            <v>F550</v>
          </cell>
          <cell r="G97">
            <v>19000</v>
          </cell>
          <cell r="H97" t="str">
            <v>IM430</v>
          </cell>
          <cell r="I97">
            <v>38353</v>
          </cell>
          <cell r="J97">
            <v>44304.95</v>
          </cell>
          <cell r="K97" t="str">
            <v>Covered Utility</v>
          </cell>
          <cell r="L97" t="str">
            <v>V10-G</v>
          </cell>
          <cell r="M97" t="str">
            <v>Spare I&amp;M</v>
          </cell>
          <cell r="N97" t="str">
            <v>IM430</v>
          </cell>
          <cell r="O97" t="str">
            <v>Mike Bradley</v>
          </cell>
          <cell r="P97" t="str">
            <v>No</v>
          </cell>
        </row>
        <row r="98">
          <cell r="A98">
            <v>154</v>
          </cell>
          <cell r="B98" t="str">
            <v>1GTCS198948181127</v>
          </cell>
          <cell r="C98" t="str">
            <v>GBC902</v>
          </cell>
          <cell r="D98">
            <v>2004</v>
          </cell>
          <cell r="E98" t="str">
            <v>GMC</v>
          </cell>
          <cell r="F98" t="str">
            <v>Canyon</v>
          </cell>
          <cell r="G98">
            <v>5000</v>
          </cell>
          <cell r="H98" t="str">
            <v>SY430</v>
          </cell>
          <cell r="I98">
            <v>38353</v>
          </cell>
          <cell r="J98">
            <v>15924.26</v>
          </cell>
          <cell r="K98" t="str">
            <v>Comp. P/U</v>
          </cell>
          <cell r="L98" t="str">
            <v>I4-G</v>
          </cell>
          <cell r="M98" t="str">
            <v>Sys Ops Spare</v>
          </cell>
          <cell r="N98" t="str">
            <v>SY430</v>
          </cell>
          <cell r="O98" t="str">
            <v>Suzy Sandstrom</v>
          </cell>
          <cell r="P98" t="str">
            <v>No</v>
          </cell>
        </row>
        <row r="99">
          <cell r="A99">
            <v>793</v>
          </cell>
          <cell r="B99" t="str">
            <v>1FVACXDC25HU61092</v>
          </cell>
          <cell r="C99" t="str">
            <v>GBQ063</v>
          </cell>
          <cell r="D99">
            <v>2005</v>
          </cell>
          <cell r="E99" t="str">
            <v>Freightliner</v>
          </cell>
          <cell r="F99" t="str">
            <v>BC/M2</v>
          </cell>
          <cell r="G99">
            <v>33000</v>
          </cell>
          <cell r="H99" t="str">
            <v>PR431</v>
          </cell>
          <cell r="I99">
            <v>38433</v>
          </cell>
          <cell r="J99">
            <v>94015.4</v>
          </cell>
          <cell r="K99" t="str">
            <v>Bobtail</v>
          </cell>
          <cell r="L99" t="str">
            <v>Krutsinger 3499</v>
          </cell>
          <cell r="M99" t="str">
            <v>Bobtail</v>
          </cell>
          <cell r="N99" t="str">
            <v>PR431</v>
          </cell>
          <cell r="O99" t="str">
            <v>James Moore</v>
          </cell>
          <cell r="P99" t="str">
            <v>No</v>
          </cell>
        </row>
        <row r="100">
          <cell r="A100">
            <v>153</v>
          </cell>
          <cell r="B100" t="str">
            <v>1GTCS198248183754</v>
          </cell>
          <cell r="C100" t="str">
            <v>GBC921</v>
          </cell>
          <cell r="D100">
            <v>2004</v>
          </cell>
          <cell r="E100" t="str">
            <v>GMC</v>
          </cell>
          <cell r="F100" t="str">
            <v>Canyon</v>
          </cell>
          <cell r="G100">
            <v>5000</v>
          </cell>
          <cell r="H100" t="str">
            <v>EN430</v>
          </cell>
          <cell r="I100">
            <v>38443</v>
          </cell>
          <cell r="J100">
            <v>15038.95</v>
          </cell>
          <cell r="K100" t="str">
            <v>Comp. P/U</v>
          </cell>
          <cell r="L100" t="str">
            <v>I4-G</v>
          </cell>
          <cell r="M100" t="str">
            <v>Eng Asst</v>
          </cell>
          <cell r="N100" t="str">
            <v>EN430</v>
          </cell>
          <cell r="O100" t="str">
            <v>Dave Johnson</v>
          </cell>
          <cell r="P100" t="str">
            <v>No</v>
          </cell>
        </row>
        <row r="101">
          <cell r="A101">
            <v>971</v>
          </cell>
          <cell r="B101" t="str">
            <v>1GTCS148048203507</v>
          </cell>
          <cell r="C101" t="str">
            <v>GBP948</v>
          </cell>
          <cell r="D101">
            <v>2004</v>
          </cell>
          <cell r="E101" t="str">
            <v>GMC</v>
          </cell>
          <cell r="F101" t="str">
            <v>Canyon</v>
          </cell>
          <cell r="G101">
            <v>4850</v>
          </cell>
          <cell r="H101" t="str">
            <v>EL442</v>
          </cell>
          <cell r="I101">
            <v>38504</v>
          </cell>
          <cell r="J101">
            <v>13581.21</v>
          </cell>
          <cell r="K101" t="str">
            <v>Comp. P/U</v>
          </cell>
          <cell r="L101" t="str">
            <v>Std. Cab</v>
          </cell>
          <cell r="M101" t="str">
            <v>Meter Reader</v>
          </cell>
          <cell r="N101" t="str">
            <v>EL442</v>
          </cell>
          <cell r="O101" t="str">
            <v>Kate Jones</v>
          </cell>
          <cell r="P101" t="str">
            <v>No</v>
          </cell>
        </row>
        <row r="102">
          <cell r="A102">
            <v>972</v>
          </cell>
          <cell r="B102" t="str">
            <v>1GTCS148548200747</v>
          </cell>
          <cell r="C102" t="str">
            <v>GBP942</v>
          </cell>
          <cell r="D102">
            <v>2004</v>
          </cell>
          <cell r="E102" t="str">
            <v>GMC</v>
          </cell>
          <cell r="F102" t="str">
            <v>Canyon</v>
          </cell>
          <cell r="G102">
            <v>4850</v>
          </cell>
          <cell r="H102" t="str">
            <v>EL442</v>
          </cell>
          <cell r="I102">
            <v>38504</v>
          </cell>
          <cell r="J102">
            <v>13581.22</v>
          </cell>
          <cell r="K102" t="str">
            <v>Comp. P/U</v>
          </cell>
          <cell r="L102" t="str">
            <v>Std. Cab</v>
          </cell>
          <cell r="M102" t="str">
            <v>Meter Reader</v>
          </cell>
          <cell r="N102" t="str">
            <v>EL442</v>
          </cell>
          <cell r="O102" t="str">
            <v>Chris Allen</v>
          </cell>
          <cell r="P102" t="str">
            <v>No</v>
          </cell>
        </row>
        <row r="103">
          <cell r="A103">
            <v>970</v>
          </cell>
          <cell r="B103" t="str">
            <v>1GTCS148748201866</v>
          </cell>
          <cell r="C103" t="str">
            <v>GBP939</v>
          </cell>
          <cell r="D103">
            <v>2004</v>
          </cell>
          <cell r="E103" t="str">
            <v>GMC</v>
          </cell>
          <cell r="F103" t="str">
            <v>Canyon</v>
          </cell>
          <cell r="G103">
            <v>4850</v>
          </cell>
          <cell r="H103" t="str">
            <v>EL442</v>
          </cell>
          <cell r="I103">
            <v>38504</v>
          </cell>
          <cell r="J103">
            <v>13581.21</v>
          </cell>
          <cell r="K103" t="str">
            <v>Comp. P/U</v>
          </cell>
          <cell r="L103" t="str">
            <v>Std. Cab</v>
          </cell>
          <cell r="M103" t="str">
            <v>Meter Reader</v>
          </cell>
          <cell r="N103" t="str">
            <v>EL442</v>
          </cell>
          <cell r="O103" t="str">
            <v>Virginia Nail</v>
          </cell>
          <cell r="P103" t="str">
            <v>No</v>
          </cell>
        </row>
        <row r="104">
          <cell r="A104">
            <v>155</v>
          </cell>
          <cell r="B104" t="str">
            <v>1FDAF56S34ED20961</v>
          </cell>
          <cell r="C104" t="str">
            <v>GBU483</v>
          </cell>
          <cell r="D104">
            <v>2004</v>
          </cell>
          <cell r="E104" t="str">
            <v>Ford</v>
          </cell>
          <cell r="F104" t="str">
            <v>F550</v>
          </cell>
          <cell r="G104">
            <v>19000</v>
          </cell>
          <cell r="H104" t="str">
            <v>IM430</v>
          </cell>
          <cell r="I104">
            <v>38534</v>
          </cell>
          <cell r="J104">
            <v>51081.1</v>
          </cell>
          <cell r="K104" t="str">
            <v>Utility Welder</v>
          </cell>
          <cell r="L104" t="str">
            <v>V10-G</v>
          </cell>
          <cell r="M104" t="str">
            <v>I&amp;M Welder</v>
          </cell>
          <cell r="N104" t="str">
            <v>IM430</v>
          </cell>
          <cell r="O104" t="str">
            <v>Jose Hernandez</v>
          </cell>
          <cell r="P104" t="str">
            <v>No</v>
          </cell>
        </row>
        <row r="105">
          <cell r="A105" t="str">
            <v>314 / CT-0587</v>
          </cell>
          <cell r="B105" t="str">
            <v>1GBJ6C1E15F533904</v>
          </cell>
          <cell r="C105" t="str">
            <v>D813UD</v>
          </cell>
          <cell r="D105">
            <v>2005</v>
          </cell>
          <cell r="E105" t="str">
            <v>Chevrolet</v>
          </cell>
          <cell r="F105">
            <v>6500</v>
          </cell>
          <cell r="G105">
            <v>11700</v>
          </cell>
          <cell r="H105" t="str">
            <v>OP460</v>
          </cell>
          <cell r="K105" t="str">
            <v>Dump Trk</v>
          </cell>
          <cell r="L105" t="str">
            <v>V10-G</v>
          </cell>
          <cell r="M105" t="str">
            <v>Ops</v>
          </cell>
          <cell r="N105" t="str">
            <v>PR460</v>
          </cell>
          <cell r="O105" t="str">
            <v>DUMPTRUCK</v>
          </cell>
          <cell r="P105" t="str">
            <v>No</v>
          </cell>
        </row>
        <row r="106">
          <cell r="A106">
            <v>558</v>
          </cell>
          <cell r="B106" t="str">
            <v>1GDG5C1G16F407467</v>
          </cell>
          <cell r="C106" t="str">
            <v>GCS199</v>
          </cell>
          <cell r="D106">
            <v>2006</v>
          </cell>
          <cell r="E106" t="str">
            <v>GMC</v>
          </cell>
          <cell r="F106">
            <v>5500</v>
          </cell>
          <cell r="G106">
            <v>22000</v>
          </cell>
          <cell r="H106" t="str">
            <v>PR410</v>
          </cell>
          <cell r="I106">
            <v>38645</v>
          </cell>
          <cell r="J106">
            <v>52132.74</v>
          </cell>
          <cell r="K106" t="str">
            <v>Dry Freight</v>
          </cell>
          <cell r="L106" t="str">
            <v>M&amp;J, Liftgate</v>
          </cell>
          <cell r="M106" t="str">
            <v>M&amp;J</v>
          </cell>
          <cell r="N106" t="str">
            <v>PR410</v>
          </cell>
          <cell r="O106" t="str">
            <v>Vacant Position</v>
          </cell>
          <cell r="P106" t="str">
            <v>No</v>
          </cell>
        </row>
        <row r="107">
          <cell r="A107">
            <v>557</v>
          </cell>
          <cell r="B107" t="str">
            <v>1GDG5C1G56F406936</v>
          </cell>
          <cell r="C107" t="str">
            <v>GBX298</v>
          </cell>
          <cell r="D107">
            <v>2006</v>
          </cell>
          <cell r="E107" t="str">
            <v>GMC</v>
          </cell>
          <cell r="F107">
            <v>5500</v>
          </cell>
          <cell r="G107">
            <v>22000</v>
          </cell>
          <cell r="H107" t="str">
            <v>IM410</v>
          </cell>
          <cell r="I107">
            <v>38645</v>
          </cell>
          <cell r="J107">
            <v>49295.37</v>
          </cell>
          <cell r="K107" t="str">
            <v>Utility</v>
          </cell>
          <cell r="L107" t="str">
            <v>8.1L V8-G, I&amp;M</v>
          </cell>
          <cell r="M107" t="str">
            <v>I&amp;M</v>
          </cell>
          <cell r="N107" t="str">
            <v>IM410</v>
          </cell>
          <cell r="O107" t="str">
            <v>Darren Coney</v>
          </cell>
          <cell r="P107" t="str">
            <v>No</v>
          </cell>
        </row>
        <row r="108">
          <cell r="A108">
            <v>556</v>
          </cell>
          <cell r="B108" t="str">
            <v>1GDG5C1G96F407717</v>
          </cell>
          <cell r="C108" t="str">
            <v>GBX306</v>
          </cell>
          <cell r="D108">
            <v>2006</v>
          </cell>
          <cell r="E108" t="str">
            <v>GMC</v>
          </cell>
          <cell r="F108">
            <v>5500</v>
          </cell>
          <cell r="G108">
            <v>22000</v>
          </cell>
          <cell r="H108" t="str">
            <v>IM410</v>
          </cell>
          <cell r="I108">
            <v>38645</v>
          </cell>
          <cell r="J108">
            <v>49295.38</v>
          </cell>
          <cell r="K108" t="str">
            <v>Utility</v>
          </cell>
          <cell r="L108" t="str">
            <v>8.1L V8-G, I&amp;M</v>
          </cell>
          <cell r="M108" t="str">
            <v>I&amp;M</v>
          </cell>
          <cell r="N108" t="str">
            <v>IM410</v>
          </cell>
          <cell r="O108" t="str">
            <v>Steve Webster</v>
          </cell>
          <cell r="P108" t="str">
            <v>No</v>
          </cell>
        </row>
        <row r="109">
          <cell r="A109">
            <v>559</v>
          </cell>
          <cell r="B109" t="str">
            <v>1GDG5C1G26F407235</v>
          </cell>
          <cell r="C109" t="str">
            <v>GBX326</v>
          </cell>
          <cell r="D109">
            <v>2006</v>
          </cell>
          <cell r="E109" t="str">
            <v>GMC</v>
          </cell>
          <cell r="F109">
            <v>5500</v>
          </cell>
          <cell r="G109">
            <v>22000</v>
          </cell>
          <cell r="H109" t="str">
            <v>PR410</v>
          </cell>
          <cell r="I109">
            <v>38671</v>
          </cell>
          <cell r="J109">
            <v>67776.960000000006</v>
          </cell>
          <cell r="K109" t="str">
            <v>Utility</v>
          </cell>
          <cell r="L109" t="str">
            <v>I&amp;M, Crane, Liftgate</v>
          </cell>
          <cell r="M109" t="str">
            <v>Flo-Gas I&amp;M</v>
          </cell>
          <cell r="N109" t="str">
            <v>PR410</v>
          </cell>
          <cell r="O109" t="str">
            <v>Phil Mooney</v>
          </cell>
          <cell r="P109" t="str">
            <v>No</v>
          </cell>
        </row>
        <row r="110">
          <cell r="A110">
            <v>41</v>
          </cell>
          <cell r="B110" t="str">
            <v>1HTMMAAN56H307330</v>
          </cell>
          <cell r="C110" t="str">
            <v>GBQ237</v>
          </cell>
          <cell r="D110">
            <v>2006</v>
          </cell>
          <cell r="E110" t="str">
            <v>International</v>
          </cell>
          <cell r="F110">
            <v>4300</v>
          </cell>
          <cell r="G110">
            <v>32900</v>
          </cell>
          <cell r="H110" t="str">
            <v>PR410</v>
          </cell>
          <cell r="I110">
            <v>38709</v>
          </cell>
          <cell r="J110">
            <v>102894.04</v>
          </cell>
          <cell r="K110" t="str">
            <v>Bobtail</v>
          </cell>
          <cell r="L110" t="str">
            <v>Arrow 3499, s/n 39176</v>
          </cell>
          <cell r="M110" t="str">
            <v>Bobtail</v>
          </cell>
          <cell r="N110" t="str">
            <v>PR410</v>
          </cell>
          <cell r="O110" t="str">
            <v>George Cross</v>
          </cell>
          <cell r="P110" t="str">
            <v>No</v>
          </cell>
        </row>
        <row r="111">
          <cell r="A111">
            <v>40</v>
          </cell>
          <cell r="B111" t="str">
            <v>1HTMMAAN96H307329</v>
          </cell>
          <cell r="C111" t="str">
            <v>GBQ238</v>
          </cell>
          <cell r="D111">
            <v>2006</v>
          </cell>
          <cell r="E111" t="str">
            <v>International</v>
          </cell>
          <cell r="F111">
            <v>4300</v>
          </cell>
          <cell r="G111">
            <v>32900</v>
          </cell>
          <cell r="H111" t="str">
            <v>PR410</v>
          </cell>
          <cell r="I111">
            <v>38719</v>
          </cell>
          <cell r="J111">
            <v>99367.77</v>
          </cell>
          <cell r="K111" t="str">
            <v>Bobtail</v>
          </cell>
          <cell r="L111" t="str">
            <v>Arrow 3499, s/n 39175</v>
          </cell>
          <cell r="M111" t="str">
            <v>Bobtail</v>
          </cell>
          <cell r="N111" t="str">
            <v>PR410</v>
          </cell>
          <cell r="O111" t="str">
            <v>Joel Ruderman</v>
          </cell>
          <cell r="P111" t="str">
            <v>No</v>
          </cell>
        </row>
        <row r="112">
          <cell r="A112">
            <v>165</v>
          </cell>
          <cell r="B112" t="str">
            <v>1GTEC19Z06Z212177</v>
          </cell>
          <cell r="C112" t="str">
            <v>GBC933</v>
          </cell>
          <cell r="D112">
            <v>2006</v>
          </cell>
          <cell r="E112" t="str">
            <v>GMC</v>
          </cell>
          <cell r="F112" t="str">
            <v>Sierra</v>
          </cell>
          <cell r="G112">
            <v>6200</v>
          </cell>
          <cell r="H112" t="str">
            <v>SY430</v>
          </cell>
          <cell r="I112">
            <v>38740</v>
          </cell>
          <cell r="J112">
            <v>22473.02</v>
          </cell>
          <cell r="K112" t="str">
            <v>Pickup</v>
          </cell>
          <cell r="L112" t="str">
            <v>5.3L V8-G, Ext. Cab</v>
          </cell>
          <cell r="M112" t="str">
            <v>Sys Ops</v>
          </cell>
          <cell r="N112" t="str">
            <v>SY430</v>
          </cell>
          <cell r="O112" t="str">
            <v>Leak Survey / Lackey</v>
          </cell>
          <cell r="P112" t="str">
            <v>No</v>
          </cell>
        </row>
        <row r="113">
          <cell r="A113">
            <v>164</v>
          </cell>
          <cell r="B113" t="str">
            <v>1GTEC19ZX6Z211974</v>
          </cell>
          <cell r="C113" t="str">
            <v>GBC930</v>
          </cell>
          <cell r="D113">
            <v>2006</v>
          </cell>
          <cell r="E113" t="str">
            <v>GMC</v>
          </cell>
          <cell r="F113" t="str">
            <v>Sierra</v>
          </cell>
          <cell r="G113">
            <v>6200</v>
          </cell>
          <cell r="H113" t="str">
            <v>IM430</v>
          </cell>
          <cell r="I113">
            <v>38740</v>
          </cell>
          <cell r="J113">
            <v>22473.02</v>
          </cell>
          <cell r="K113" t="str">
            <v>Pickup</v>
          </cell>
          <cell r="L113" t="str">
            <v>5.3L V8-G, Ext. Cab</v>
          </cell>
          <cell r="M113" t="str">
            <v>I&amp;M Supv</v>
          </cell>
          <cell r="N113" t="str">
            <v>IM430</v>
          </cell>
          <cell r="O113" t="str">
            <v>Fred Bland</v>
          </cell>
          <cell r="P113" t="str">
            <v>No</v>
          </cell>
        </row>
        <row r="114">
          <cell r="A114">
            <v>170</v>
          </cell>
          <cell r="B114" t="str">
            <v>1GTCS198X68227857</v>
          </cell>
          <cell r="C114" t="str">
            <v>GBC958</v>
          </cell>
          <cell r="D114">
            <v>2006</v>
          </cell>
          <cell r="E114" t="str">
            <v>GMC</v>
          </cell>
          <cell r="F114" t="str">
            <v>Canyon</v>
          </cell>
          <cell r="G114">
            <v>5000</v>
          </cell>
          <cell r="H114" t="str">
            <v>SY430</v>
          </cell>
          <cell r="I114">
            <v>38747</v>
          </cell>
          <cell r="J114">
            <v>16129.59</v>
          </cell>
          <cell r="K114" t="str">
            <v>Comp. P/U</v>
          </cell>
          <cell r="L114" t="str">
            <v>I4-G, Ext. Cab</v>
          </cell>
          <cell r="M114" t="str">
            <v>Sys Ops Line Locate</v>
          </cell>
          <cell r="N114" t="str">
            <v>SY430</v>
          </cell>
          <cell r="O114" t="str">
            <v>Ken Kennedy</v>
          </cell>
          <cell r="P114" t="str">
            <v>No</v>
          </cell>
        </row>
        <row r="115">
          <cell r="A115">
            <v>168</v>
          </cell>
          <cell r="B115" t="str">
            <v>1GTGG29U161186081</v>
          </cell>
          <cell r="C115" t="str">
            <v>GBC939</v>
          </cell>
          <cell r="D115">
            <v>2006</v>
          </cell>
          <cell r="E115" t="str">
            <v>GMC</v>
          </cell>
          <cell r="F115" t="str">
            <v>Savana</v>
          </cell>
          <cell r="G115">
            <v>8600</v>
          </cell>
          <cell r="H115" t="str">
            <v>SV430</v>
          </cell>
          <cell r="I115">
            <v>38747</v>
          </cell>
          <cell r="J115">
            <v>25524.41</v>
          </cell>
          <cell r="K115" t="str">
            <v>Van</v>
          </cell>
          <cell r="L115" t="str">
            <v>6.0L V8-G, Service</v>
          </cell>
          <cell r="M115" t="str">
            <v>Service</v>
          </cell>
          <cell r="N115" t="str">
            <v>SV430</v>
          </cell>
          <cell r="O115" t="str">
            <v>Bill McDaniel</v>
          </cell>
          <cell r="P115" t="str">
            <v>No</v>
          </cell>
        </row>
        <row r="116">
          <cell r="A116">
            <v>167</v>
          </cell>
          <cell r="B116" t="str">
            <v>1GTGG29U161186677</v>
          </cell>
          <cell r="C116" t="str">
            <v>GBC936</v>
          </cell>
          <cell r="D116">
            <v>2006</v>
          </cell>
          <cell r="E116" t="str">
            <v>GMC</v>
          </cell>
          <cell r="F116" t="str">
            <v>Savana</v>
          </cell>
          <cell r="G116">
            <v>8600</v>
          </cell>
          <cell r="H116" t="str">
            <v>SV430</v>
          </cell>
          <cell r="I116">
            <v>38747</v>
          </cell>
          <cell r="J116">
            <v>25524.41</v>
          </cell>
          <cell r="K116" t="str">
            <v>Van</v>
          </cell>
          <cell r="L116" t="str">
            <v>6.0L V8-G, Service</v>
          </cell>
          <cell r="M116" t="str">
            <v>Service</v>
          </cell>
          <cell r="N116" t="str">
            <v>SV430</v>
          </cell>
          <cell r="O116" t="str">
            <v>Curtis Page</v>
          </cell>
          <cell r="P116" t="str">
            <v>No</v>
          </cell>
        </row>
        <row r="117">
          <cell r="A117">
            <v>169</v>
          </cell>
          <cell r="B117" t="str">
            <v>1GTGG29U461186771</v>
          </cell>
          <cell r="C117" t="str">
            <v>GBC941</v>
          </cell>
          <cell r="D117">
            <v>2006</v>
          </cell>
          <cell r="E117" t="str">
            <v>GMC</v>
          </cell>
          <cell r="F117" t="str">
            <v>Savana</v>
          </cell>
          <cell r="G117">
            <v>8600</v>
          </cell>
          <cell r="H117" t="str">
            <v>SV430</v>
          </cell>
          <cell r="I117">
            <v>38747</v>
          </cell>
          <cell r="J117">
            <v>25524.42</v>
          </cell>
          <cell r="K117" t="str">
            <v>Van</v>
          </cell>
          <cell r="L117" t="str">
            <v>6.0L V8-G, Service</v>
          </cell>
          <cell r="M117" t="str">
            <v>Service</v>
          </cell>
          <cell r="N117" t="str">
            <v>SV430</v>
          </cell>
          <cell r="O117" t="str">
            <v>Chris Williams</v>
          </cell>
          <cell r="P117" t="str">
            <v>No</v>
          </cell>
        </row>
        <row r="118">
          <cell r="A118">
            <v>166</v>
          </cell>
          <cell r="B118" t="str">
            <v>1GTEC19Z66Z211938</v>
          </cell>
          <cell r="C118" t="str">
            <v>GBC934</v>
          </cell>
          <cell r="D118">
            <v>2006</v>
          </cell>
          <cell r="E118" t="str">
            <v>GMC</v>
          </cell>
          <cell r="F118" t="str">
            <v>Sierra</v>
          </cell>
          <cell r="G118">
            <v>6200</v>
          </cell>
          <cell r="H118" t="str">
            <v>EN430</v>
          </cell>
          <cell r="I118">
            <v>38748</v>
          </cell>
          <cell r="J118">
            <v>22473.02</v>
          </cell>
          <cell r="K118" t="str">
            <v>Pickup</v>
          </cell>
          <cell r="L118" t="str">
            <v>5.3L V8-G, Ext. Cab</v>
          </cell>
          <cell r="M118" t="str">
            <v>Eng Mgr</v>
          </cell>
          <cell r="N118" t="str">
            <v>EN430</v>
          </cell>
          <cell r="O118" t="str">
            <v>Dan Scribben</v>
          </cell>
          <cell r="P118" t="str">
            <v>YES</v>
          </cell>
        </row>
        <row r="119">
          <cell r="A119">
            <v>563</v>
          </cell>
          <cell r="B119" t="str">
            <v>1GTEC19Z76Z214704</v>
          </cell>
          <cell r="C119" t="str">
            <v>GBC889</v>
          </cell>
          <cell r="D119">
            <v>2006</v>
          </cell>
          <cell r="E119" t="str">
            <v>GMC</v>
          </cell>
          <cell r="F119" t="str">
            <v>Sierra</v>
          </cell>
          <cell r="G119">
            <v>6200</v>
          </cell>
          <cell r="H119" t="str">
            <v>EN401</v>
          </cell>
          <cell r="I119">
            <v>38748</v>
          </cell>
          <cell r="J119">
            <v>21465.17</v>
          </cell>
          <cell r="K119" t="str">
            <v>Pickup</v>
          </cell>
          <cell r="L119" t="str">
            <v>5.3L V8-G, Ext. Cab</v>
          </cell>
          <cell r="M119" t="str">
            <v>I&amp;M Supv</v>
          </cell>
          <cell r="N119" t="str">
            <v>IM410</v>
          </cell>
          <cell r="O119" t="str">
            <v>John Burke</v>
          </cell>
          <cell r="P119" t="str">
            <v>YES</v>
          </cell>
        </row>
        <row r="120">
          <cell r="A120">
            <v>572</v>
          </cell>
          <cell r="B120" t="str">
            <v>1GTCS148768223529</v>
          </cell>
          <cell r="C120" t="str">
            <v>GBC896</v>
          </cell>
          <cell r="D120">
            <v>2006</v>
          </cell>
          <cell r="E120" t="str">
            <v>GMC</v>
          </cell>
          <cell r="F120" t="str">
            <v>Canyon</v>
          </cell>
          <cell r="G120">
            <v>4850</v>
          </cell>
          <cell r="H120" t="str">
            <v>SV411</v>
          </cell>
          <cell r="I120">
            <v>38749</v>
          </cell>
          <cell r="J120">
            <v>13473.5</v>
          </cell>
          <cell r="K120" t="str">
            <v>Comp. P/U</v>
          </cell>
          <cell r="L120" t="str">
            <v>Std. Cab</v>
          </cell>
          <cell r="M120" t="str">
            <v>Pool Spare</v>
          </cell>
          <cell r="N120" t="str">
            <v>SV411</v>
          </cell>
          <cell r="O120" t="str">
            <v>Open Collector</v>
          </cell>
          <cell r="P120" t="str">
            <v>No</v>
          </cell>
        </row>
        <row r="121">
          <cell r="A121">
            <v>571</v>
          </cell>
          <cell r="B121" t="str">
            <v>1GTCS148668225109</v>
          </cell>
          <cell r="C121" t="str">
            <v>GBC877</v>
          </cell>
          <cell r="D121">
            <v>2006</v>
          </cell>
          <cell r="E121" t="str">
            <v>GMC</v>
          </cell>
          <cell r="F121" t="str">
            <v>Canyon</v>
          </cell>
          <cell r="G121">
            <v>4850</v>
          </cell>
          <cell r="H121" t="str">
            <v>SV411</v>
          </cell>
          <cell r="I121">
            <v>38756</v>
          </cell>
          <cell r="J121">
            <v>12723.5</v>
          </cell>
          <cell r="K121" t="str">
            <v>Comp. P/U</v>
          </cell>
          <cell r="L121" t="str">
            <v>Std. Cab</v>
          </cell>
          <cell r="M121" t="str">
            <v>Collector</v>
          </cell>
          <cell r="N121" t="str">
            <v>SV411</v>
          </cell>
          <cell r="O121" t="str">
            <v>Tommy Pouncey</v>
          </cell>
          <cell r="P121" t="str">
            <v>No</v>
          </cell>
        </row>
        <row r="122">
          <cell r="A122">
            <v>317</v>
          </cell>
          <cell r="B122" t="str">
            <v>1G1ZT51866F217065</v>
          </cell>
          <cell r="C122" t="str">
            <v>C209TW</v>
          </cell>
          <cell r="D122">
            <v>2006</v>
          </cell>
          <cell r="E122" t="str">
            <v>Chevrolet</v>
          </cell>
          <cell r="F122" t="str">
            <v>Malibu</v>
          </cell>
          <cell r="G122">
            <v>4233</v>
          </cell>
          <cell r="H122" t="str">
            <v>MK412</v>
          </cell>
          <cell r="K122" t="str">
            <v>Sedan</v>
          </cell>
          <cell r="L122" t="str">
            <v>V6-G</v>
          </cell>
          <cell r="M122" t="str">
            <v>Energy Plus Rep / Office</v>
          </cell>
          <cell r="N122" t="str">
            <v>MK412</v>
          </cell>
          <cell r="O122" t="str">
            <v>Scott Ranck</v>
          </cell>
          <cell r="P122" t="str">
            <v>YES</v>
          </cell>
        </row>
        <row r="123">
          <cell r="A123">
            <v>318</v>
          </cell>
          <cell r="B123" t="str">
            <v>1GNDT13SX62302735</v>
          </cell>
          <cell r="C123" t="str">
            <v>E771LY</v>
          </cell>
          <cell r="D123">
            <v>2006</v>
          </cell>
          <cell r="E123" t="str">
            <v>Chevrolet</v>
          </cell>
          <cell r="F123" t="str">
            <v>TrailBlazer</v>
          </cell>
          <cell r="G123">
            <v>5750</v>
          </cell>
          <cell r="H123" t="str">
            <v>MS410</v>
          </cell>
          <cell r="K123" t="str">
            <v>SUV</v>
          </cell>
          <cell r="L123" t="str">
            <v>V6-G</v>
          </cell>
          <cell r="M123" t="str">
            <v>Eng Tech / Ops</v>
          </cell>
          <cell r="N123" t="str">
            <v>MS410</v>
          </cell>
          <cell r="O123" t="str">
            <v>Barbara Johns</v>
          </cell>
          <cell r="P123" t="str">
            <v>YES</v>
          </cell>
        </row>
        <row r="124">
          <cell r="A124">
            <v>562</v>
          </cell>
          <cell r="B124" t="str">
            <v>1GTEC19Z96Z212100</v>
          </cell>
          <cell r="C124" t="str">
            <v>GBC888</v>
          </cell>
          <cell r="D124">
            <v>2006</v>
          </cell>
          <cell r="E124" t="str">
            <v>GMC</v>
          </cell>
          <cell r="F124" t="str">
            <v>Sierra</v>
          </cell>
          <cell r="G124">
            <v>6200</v>
          </cell>
          <cell r="H124" t="str">
            <v>PR400</v>
          </cell>
          <cell r="I124">
            <v>38740</v>
          </cell>
          <cell r="J124">
            <v>21465.17</v>
          </cell>
          <cell r="K124" t="str">
            <v>Pickup</v>
          </cell>
          <cell r="L124" t="str">
            <v>5.3L V8-G, Ext. Cab</v>
          </cell>
          <cell r="M124" t="str">
            <v>Eng Project Mgr</v>
          </cell>
          <cell r="N124" t="str">
            <v>PR400</v>
          </cell>
          <cell r="O124" t="str">
            <v>Roland Parker</v>
          </cell>
          <cell r="P124" t="str">
            <v>YES</v>
          </cell>
        </row>
        <row r="125">
          <cell r="A125">
            <v>567</v>
          </cell>
          <cell r="B125" t="str">
            <v>1GDHC29U06E204512</v>
          </cell>
          <cell r="C125" t="str">
            <v>GBC905</v>
          </cell>
          <cell r="D125">
            <v>2006</v>
          </cell>
          <cell r="E125" t="str">
            <v>GMC</v>
          </cell>
          <cell r="F125">
            <v>2500</v>
          </cell>
          <cell r="G125">
            <v>9200</v>
          </cell>
          <cell r="H125" t="str">
            <v>SV411</v>
          </cell>
          <cell r="I125">
            <v>38818</v>
          </cell>
          <cell r="J125">
            <v>34303.279999999999</v>
          </cell>
          <cell r="K125" t="str">
            <v>Utility</v>
          </cell>
          <cell r="L125" t="str">
            <v>6.0L V8-G, Ext. Cab</v>
          </cell>
          <cell r="M125" t="str">
            <v>Service</v>
          </cell>
          <cell r="N125" t="str">
            <v>SV411</v>
          </cell>
          <cell r="O125" t="str">
            <v>Leo Moron</v>
          </cell>
          <cell r="P125" t="str">
            <v>No</v>
          </cell>
        </row>
        <row r="126">
          <cell r="A126">
            <v>568</v>
          </cell>
          <cell r="B126" t="str">
            <v>1GDHC29U16E204518</v>
          </cell>
          <cell r="C126" t="str">
            <v>GBC906</v>
          </cell>
          <cell r="D126">
            <v>2006</v>
          </cell>
          <cell r="E126" t="str">
            <v>GMC</v>
          </cell>
          <cell r="F126">
            <v>2500</v>
          </cell>
          <cell r="G126">
            <v>9200</v>
          </cell>
          <cell r="H126" t="str">
            <v>SV411</v>
          </cell>
          <cell r="I126">
            <v>38818</v>
          </cell>
          <cell r="J126">
            <v>34303.279999999999</v>
          </cell>
          <cell r="K126" t="str">
            <v>Utility</v>
          </cell>
          <cell r="L126" t="str">
            <v>6.0L V8-G, Ext. Cab</v>
          </cell>
          <cell r="M126" t="str">
            <v>M&amp;J</v>
          </cell>
          <cell r="N126" t="str">
            <v>SV411</v>
          </cell>
          <cell r="O126" t="str">
            <v>Spare</v>
          </cell>
          <cell r="P126" t="str">
            <v>No</v>
          </cell>
        </row>
        <row r="127">
          <cell r="A127">
            <v>566</v>
          </cell>
          <cell r="B127" t="str">
            <v>1GDHC29U56E204506</v>
          </cell>
          <cell r="C127" t="str">
            <v>GBC869</v>
          </cell>
          <cell r="D127">
            <v>2006</v>
          </cell>
          <cell r="E127" t="str">
            <v>GMC</v>
          </cell>
          <cell r="F127">
            <v>2500</v>
          </cell>
          <cell r="G127">
            <v>9200</v>
          </cell>
          <cell r="H127" t="str">
            <v>SV411</v>
          </cell>
          <cell r="I127">
            <v>38818</v>
          </cell>
          <cell r="J127">
            <v>34303.279999999999</v>
          </cell>
          <cell r="K127" t="str">
            <v>Utility</v>
          </cell>
          <cell r="L127" t="str">
            <v>6.0L V8-G, Ext. Cab</v>
          </cell>
          <cell r="M127" t="str">
            <v>Service</v>
          </cell>
          <cell r="N127" t="str">
            <v>SV411</v>
          </cell>
          <cell r="O127" t="str">
            <v>Bob Wallace</v>
          </cell>
          <cell r="P127" t="str">
            <v>No</v>
          </cell>
        </row>
        <row r="128">
          <cell r="A128">
            <v>569</v>
          </cell>
          <cell r="B128" t="str">
            <v>1GDHC29UX6E204825</v>
          </cell>
          <cell r="C128" t="str">
            <v>GBC910</v>
          </cell>
          <cell r="D128">
            <v>2006</v>
          </cell>
          <cell r="E128" t="str">
            <v>GMC</v>
          </cell>
          <cell r="F128">
            <v>2500</v>
          </cell>
          <cell r="G128">
            <v>9200</v>
          </cell>
          <cell r="H128" t="str">
            <v>SV411</v>
          </cell>
          <cell r="I128">
            <v>38818</v>
          </cell>
          <cell r="J128">
            <v>34303.279999999999</v>
          </cell>
          <cell r="K128" t="str">
            <v>Utility</v>
          </cell>
          <cell r="L128" t="str">
            <v>6.0L V8-G, Ext. Cab</v>
          </cell>
          <cell r="M128" t="str">
            <v>Service</v>
          </cell>
          <cell r="N128" t="str">
            <v>SV411</v>
          </cell>
          <cell r="O128" t="str">
            <v>Joseph Deyounks</v>
          </cell>
          <cell r="P128" t="str">
            <v>No</v>
          </cell>
        </row>
        <row r="129">
          <cell r="A129">
            <v>564</v>
          </cell>
          <cell r="B129" t="str">
            <v>1GCEC19Z46Z248504</v>
          </cell>
          <cell r="C129" t="str">
            <v>K411CK</v>
          </cell>
          <cell r="D129">
            <v>2006</v>
          </cell>
          <cell r="E129" t="str">
            <v>Chevrolet</v>
          </cell>
          <cell r="F129" t="str">
            <v>Silverado</v>
          </cell>
          <cell r="G129">
            <v>6200</v>
          </cell>
          <cell r="H129" t="str">
            <v>PR410</v>
          </cell>
          <cell r="I129">
            <v>38842</v>
          </cell>
          <cell r="J129">
            <v>24437.8</v>
          </cell>
          <cell r="K129" t="str">
            <v>Pickup</v>
          </cell>
          <cell r="L129" t="str">
            <v>5.3L V8-G, Ext. Cab</v>
          </cell>
          <cell r="M129" t="str">
            <v>Flo-Gas Mgr</v>
          </cell>
          <cell r="N129" t="str">
            <v>PR410</v>
          </cell>
          <cell r="O129" t="str">
            <v>Skip Knight</v>
          </cell>
          <cell r="P129" t="str">
            <v>YES</v>
          </cell>
        </row>
        <row r="130">
          <cell r="A130">
            <v>173</v>
          </cell>
          <cell r="B130" t="str">
            <v>1GTCS148268296808</v>
          </cell>
          <cell r="C130" t="str">
            <v>GBY565</v>
          </cell>
          <cell r="D130">
            <v>2006</v>
          </cell>
          <cell r="E130" t="str">
            <v>GMC</v>
          </cell>
          <cell r="F130" t="str">
            <v>Canyon</v>
          </cell>
          <cell r="G130">
            <v>4850</v>
          </cell>
          <cell r="H130" t="str">
            <v>SY430</v>
          </cell>
          <cell r="I130">
            <v>38862</v>
          </cell>
          <cell r="J130">
            <v>15805.28</v>
          </cell>
          <cell r="K130" t="str">
            <v>Comp. P/U</v>
          </cell>
          <cell r="L130" t="str">
            <v>I4-G, Std. Cab</v>
          </cell>
          <cell r="M130" t="str">
            <v>Sys Ops Line Locate</v>
          </cell>
          <cell r="N130" t="str">
            <v>SY430</v>
          </cell>
          <cell r="O130" t="str">
            <v>Dawn DeCosta</v>
          </cell>
          <cell r="P130" t="str">
            <v>No</v>
          </cell>
        </row>
        <row r="131">
          <cell r="A131">
            <v>172</v>
          </cell>
          <cell r="B131" t="str">
            <v>1GTCS148768294813</v>
          </cell>
          <cell r="C131" t="str">
            <v>GBY566</v>
          </cell>
          <cell r="D131">
            <v>2006</v>
          </cell>
          <cell r="E131" t="str">
            <v>GMC</v>
          </cell>
          <cell r="F131" t="str">
            <v>Canyon</v>
          </cell>
          <cell r="G131">
            <v>4850</v>
          </cell>
          <cell r="H131" t="str">
            <v>IM430</v>
          </cell>
          <cell r="I131">
            <v>38862</v>
          </cell>
          <cell r="J131">
            <v>15263.19</v>
          </cell>
          <cell r="K131" t="str">
            <v>Comp. P/U</v>
          </cell>
          <cell r="L131" t="str">
            <v>I4-G, Std. Cab</v>
          </cell>
          <cell r="M131" t="str">
            <v>Spare I&amp;M</v>
          </cell>
          <cell r="N131" t="str">
            <v>IM430</v>
          </cell>
          <cell r="O131" t="str">
            <v>Unassigned</v>
          </cell>
          <cell r="P131" t="str">
            <v>No</v>
          </cell>
        </row>
        <row r="132">
          <cell r="A132">
            <v>174</v>
          </cell>
          <cell r="B132" t="str">
            <v>1GTGG29U261243548</v>
          </cell>
          <cell r="C132" t="str">
            <v>GBC927</v>
          </cell>
          <cell r="D132">
            <v>2006</v>
          </cell>
          <cell r="E132" t="str">
            <v>GMC</v>
          </cell>
          <cell r="F132" t="str">
            <v>Savana</v>
          </cell>
          <cell r="G132">
            <v>8600</v>
          </cell>
          <cell r="H132" t="str">
            <v>SV430</v>
          </cell>
          <cell r="I132">
            <v>38868</v>
          </cell>
          <cell r="J132">
            <v>24288.32</v>
          </cell>
          <cell r="K132" t="str">
            <v>Van</v>
          </cell>
          <cell r="L132" t="str">
            <v>6.0L V8-G, Service</v>
          </cell>
          <cell r="M132" t="str">
            <v>Service</v>
          </cell>
          <cell r="N132" t="str">
            <v>SV430</v>
          </cell>
          <cell r="O132" t="str">
            <v>Frank Sluka</v>
          </cell>
          <cell r="P132" t="str">
            <v>No</v>
          </cell>
        </row>
        <row r="133">
          <cell r="A133">
            <v>974</v>
          </cell>
          <cell r="B133" t="str">
            <v>1FVACYDC46HW51144</v>
          </cell>
          <cell r="C133" t="str">
            <v>GBP665</v>
          </cell>
          <cell r="D133">
            <v>2006</v>
          </cell>
          <cell r="E133" t="str">
            <v>Freightliner</v>
          </cell>
          <cell r="F133" t="str">
            <v>BCM2</v>
          </cell>
          <cell r="G133">
            <v>37600</v>
          </cell>
          <cell r="H133" t="str">
            <v>EL441</v>
          </cell>
          <cell r="I133">
            <v>2006</v>
          </cell>
          <cell r="J133">
            <v>155148.28</v>
          </cell>
          <cell r="K133" t="str">
            <v>Altec</v>
          </cell>
          <cell r="L133" t="str">
            <v>AA755L Bucket S/N 1105 BZ 3996</v>
          </cell>
          <cell r="M133" t="str">
            <v>Bucket Truck</v>
          </cell>
          <cell r="N133" t="str">
            <v>EL441</v>
          </cell>
          <cell r="O133" t="str">
            <v>James Ussery Jr.</v>
          </cell>
          <cell r="P133" t="str">
            <v>No</v>
          </cell>
        </row>
        <row r="134">
          <cell r="A134">
            <v>796</v>
          </cell>
          <cell r="B134" t="str">
            <v>1GCEC19ZX6Z286447</v>
          </cell>
          <cell r="C134" t="str">
            <v>T004DR</v>
          </cell>
          <cell r="D134">
            <v>2006</v>
          </cell>
          <cell r="E134" t="str">
            <v>Chevrolet</v>
          </cell>
          <cell r="F134" t="str">
            <v>Silverado</v>
          </cell>
          <cell r="G134">
            <v>6200</v>
          </cell>
          <cell r="H134" t="str">
            <v>EN450</v>
          </cell>
          <cell r="I134">
            <v>38869</v>
          </cell>
          <cell r="J134">
            <v>22079.279999999999</v>
          </cell>
          <cell r="K134" t="str">
            <v>Pickup</v>
          </cell>
          <cell r="L134" t="str">
            <v>5.3L V8-G, Ext. Cab</v>
          </cell>
          <cell r="M134" t="str">
            <v>Engineering</v>
          </cell>
          <cell r="N134" t="str">
            <v>EN450</v>
          </cell>
          <cell r="O134" t="str">
            <v>Chris Hebert</v>
          </cell>
          <cell r="P134" t="str">
            <v>No</v>
          </cell>
        </row>
        <row r="135">
          <cell r="A135">
            <v>795</v>
          </cell>
          <cell r="B135" t="str">
            <v>1GNDS13S762322783</v>
          </cell>
          <cell r="C135" t="str">
            <v>K413CK</v>
          </cell>
          <cell r="D135">
            <v>2006</v>
          </cell>
          <cell r="E135" t="str">
            <v>Chevrolet</v>
          </cell>
          <cell r="F135" t="str">
            <v>TrailBlazer</v>
          </cell>
          <cell r="H135" t="str">
            <v>GM450</v>
          </cell>
          <cell r="I135">
            <v>38869</v>
          </cell>
          <cell r="J135">
            <v>22731.3</v>
          </cell>
          <cell r="K135" t="str">
            <v>SUV</v>
          </cell>
          <cell r="L135" t="str">
            <v>V6-G</v>
          </cell>
          <cell r="M135" t="str">
            <v>Gen Mgr</v>
          </cell>
          <cell r="N135" t="str">
            <v> GM450</v>
          </cell>
          <cell r="O135" t="str">
            <v>Mark Cutshaw</v>
          </cell>
          <cell r="P135" t="str">
            <v>YES</v>
          </cell>
        </row>
        <row r="136">
          <cell r="A136">
            <v>570</v>
          </cell>
          <cell r="B136" t="str">
            <v>1GDHC29U26E251136</v>
          </cell>
          <cell r="C136" t="str">
            <v>GBC929</v>
          </cell>
          <cell r="D136">
            <v>2006</v>
          </cell>
          <cell r="E136" t="str">
            <v>GMC</v>
          </cell>
          <cell r="F136">
            <v>2500</v>
          </cell>
          <cell r="G136">
            <v>9200</v>
          </cell>
          <cell r="H136" t="str">
            <v>SV411</v>
          </cell>
          <cell r="I136">
            <v>38875</v>
          </cell>
          <cell r="J136">
            <v>34303.279999999999</v>
          </cell>
          <cell r="K136" t="str">
            <v>Utility</v>
          </cell>
          <cell r="L136" t="str">
            <v>6.0L V8-G, Ext. Cab, Lift Gate</v>
          </cell>
          <cell r="M136" t="str">
            <v>Service</v>
          </cell>
          <cell r="N136" t="str">
            <v>SV411</v>
          </cell>
          <cell r="O136" t="str">
            <v>Mario Ocampo</v>
          </cell>
          <cell r="P136" t="str">
            <v>No</v>
          </cell>
        </row>
        <row r="137">
          <cell r="A137">
            <v>581</v>
          </cell>
          <cell r="B137" t="str">
            <v>1GTCS198168295562</v>
          </cell>
          <cell r="C137" t="str">
            <v>GBZ770</v>
          </cell>
          <cell r="D137">
            <v>2006</v>
          </cell>
          <cell r="E137" t="str">
            <v>GMC</v>
          </cell>
          <cell r="F137" t="str">
            <v>Canyon</v>
          </cell>
          <cell r="G137">
            <v>5000</v>
          </cell>
          <cell r="H137" t="str">
            <v>EN401</v>
          </cell>
          <cell r="I137">
            <v>38876</v>
          </cell>
          <cell r="J137">
            <v>16575.84</v>
          </cell>
          <cell r="K137" t="str">
            <v>Comp. P/U</v>
          </cell>
          <cell r="L137" t="str">
            <v>Ext. Cab</v>
          </cell>
          <cell r="M137" t="str">
            <v>Gas Stds Engineer</v>
          </cell>
          <cell r="N137" t="str">
            <v>EN401</v>
          </cell>
          <cell r="O137" t="str">
            <v>Fernando VanLeeuwen</v>
          </cell>
          <cell r="P137" t="str">
            <v>YES</v>
          </cell>
        </row>
        <row r="138">
          <cell r="A138">
            <v>582</v>
          </cell>
          <cell r="B138" t="str">
            <v>1GTCS198468293711</v>
          </cell>
          <cell r="C138" t="str">
            <v>GBY567</v>
          </cell>
          <cell r="D138">
            <v>2006</v>
          </cell>
          <cell r="E138" t="str">
            <v>GMC</v>
          </cell>
          <cell r="F138" t="str">
            <v>Canyon</v>
          </cell>
          <cell r="G138">
            <v>5000</v>
          </cell>
          <cell r="H138" t="str">
            <v>EN410</v>
          </cell>
          <cell r="I138">
            <v>38876</v>
          </cell>
          <cell r="J138">
            <v>16310.46</v>
          </cell>
          <cell r="K138" t="str">
            <v>Comp. P/U</v>
          </cell>
          <cell r="L138" t="str">
            <v>Ext. Cab</v>
          </cell>
          <cell r="M138" t="str">
            <v>Eng Tech</v>
          </cell>
          <cell r="N138" t="str">
            <v>EN410</v>
          </cell>
          <cell r="O138" t="str">
            <v>Vince Krepps</v>
          </cell>
          <cell r="P138" t="str">
            <v>No</v>
          </cell>
        </row>
        <row r="139">
          <cell r="A139">
            <v>565</v>
          </cell>
          <cell r="B139" t="str">
            <v>1GTCS198568223473</v>
          </cell>
          <cell r="C139" t="str">
            <v>GBF921</v>
          </cell>
          <cell r="D139">
            <v>2006</v>
          </cell>
          <cell r="E139" t="str">
            <v>GMC</v>
          </cell>
          <cell r="F139" t="str">
            <v>Canyon</v>
          </cell>
          <cell r="G139">
            <v>5000</v>
          </cell>
          <cell r="H139" t="str">
            <v>EN410</v>
          </cell>
          <cell r="I139">
            <v>38876</v>
          </cell>
          <cell r="J139">
            <v>15980.23</v>
          </cell>
          <cell r="K139" t="str">
            <v>Pickup</v>
          </cell>
          <cell r="L139" t="str">
            <v>Ext. Cab</v>
          </cell>
          <cell r="M139" t="str">
            <v>Eng Tech</v>
          </cell>
          <cell r="N139" t="str">
            <v>EN410</v>
          </cell>
          <cell r="O139" t="str">
            <v>Ivan Gibbs</v>
          </cell>
          <cell r="P139" t="str">
            <v>No</v>
          </cell>
        </row>
        <row r="140">
          <cell r="A140">
            <v>580</v>
          </cell>
          <cell r="B140" t="str">
            <v>1GTCS198568297296</v>
          </cell>
          <cell r="C140" t="str">
            <v>GBF928</v>
          </cell>
          <cell r="D140">
            <v>2006</v>
          </cell>
          <cell r="E140" t="str">
            <v>GMC</v>
          </cell>
          <cell r="F140" t="str">
            <v>Canyon</v>
          </cell>
          <cell r="G140">
            <v>5000</v>
          </cell>
          <cell r="H140" t="str">
            <v>EN410</v>
          </cell>
          <cell r="I140">
            <v>38876</v>
          </cell>
          <cell r="J140">
            <v>16446.96</v>
          </cell>
          <cell r="K140" t="str">
            <v>Comp. P/U</v>
          </cell>
          <cell r="L140" t="str">
            <v>Ext. Cab</v>
          </cell>
          <cell r="M140" t="str">
            <v>Eng Tech</v>
          </cell>
          <cell r="N140" t="str">
            <v>EN410</v>
          </cell>
          <cell r="O140" t="str">
            <v>Billy Rodriguez</v>
          </cell>
          <cell r="P140" t="str">
            <v>No</v>
          </cell>
        </row>
        <row r="141">
          <cell r="A141">
            <v>586</v>
          </cell>
          <cell r="B141" t="str">
            <v>1GCEC19Z86Z285538</v>
          </cell>
          <cell r="C141" t="str">
            <v>F260FT</v>
          </cell>
          <cell r="D141">
            <v>2006</v>
          </cell>
          <cell r="E141" t="str">
            <v>Chevrolet</v>
          </cell>
          <cell r="F141" t="str">
            <v>Silverado</v>
          </cell>
          <cell r="G141">
            <v>6200</v>
          </cell>
          <cell r="H141" t="str">
            <v>EN410</v>
          </cell>
          <cell r="I141">
            <v>38881</v>
          </cell>
          <cell r="J141">
            <v>21019.279999999999</v>
          </cell>
          <cell r="K141" t="str">
            <v>Pickup</v>
          </cell>
          <cell r="L141" t="str">
            <v>5.3L V8-G, Ext. Cab</v>
          </cell>
          <cell r="M141" t="str">
            <v>Senior Engineer</v>
          </cell>
          <cell r="N141" t="str">
            <v>EN410</v>
          </cell>
          <cell r="O141" t="str">
            <v>Chris Canino</v>
          </cell>
          <cell r="P141" t="str">
            <v>YES</v>
          </cell>
        </row>
        <row r="142">
          <cell r="A142">
            <v>583</v>
          </cell>
          <cell r="B142" t="str">
            <v>1W4200D1063055995</v>
          </cell>
          <cell r="C142" t="str">
            <v>GBZ806</v>
          </cell>
          <cell r="D142">
            <v>2006</v>
          </cell>
          <cell r="E142" t="str">
            <v>Wells Cargo</v>
          </cell>
          <cell r="F142" t="str">
            <v>RF6101</v>
          </cell>
          <cell r="G142">
            <v>2990</v>
          </cell>
          <cell r="H142" t="str">
            <v>MS410</v>
          </cell>
          <cell r="I142">
            <v>38889</v>
          </cell>
          <cell r="J142">
            <v>3382.52</v>
          </cell>
          <cell r="K142" t="str">
            <v>Trailer</v>
          </cell>
          <cell r="L142" t="str">
            <v>Enclosed Equipment Trailer</v>
          </cell>
          <cell r="M142" t="str">
            <v>Measurement</v>
          </cell>
          <cell r="N142" t="str">
            <v>MS410</v>
          </cell>
          <cell r="O142" t="str">
            <v>Measurement</v>
          </cell>
          <cell r="P142" t="str">
            <v>n/a</v>
          </cell>
        </row>
        <row r="143">
          <cell r="A143">
            <v>585</v>
          </cell>
          <cell r="B143" t="str">
            <v>1W4200D1863055999</v>
          </cell>
          <cell r="C143" t="str">
            <v>GBZ808</v>
          </cell>
          <cell r="D143">
            <v>2006</v>
          </cell>
          <cell r="E143" t="str">
            <v>Wells Cargo</v>
          </cell>
          <cell r="F143" t="str">
            <v>RF6101</v>
          </cell>
          <cell r="G143">
            <v>2990</v>
          </cell>
          <cell r="H143" t="str">
            <v>IM410</v>
          </cell>
          <cell r="I143">
            <v>38889</v>
          </cell>
          <cell r="J143">
            <v>3591.1</v>
          </cell>
          <cell r="K143" t="str">
            <v>Trailer</v>
          </cell>
          <cell r="L143" t="str">
            <v>Enclosed - I&amp;M</v>
          </cell>
          <cell r="M143" t="str">
            <v>Equipment Trailer</v>
          </cell>
          <cell r="N143" t="str">
            <v>IM410</v>
          </cell>
          <cell r="O143" t="str">
            <v>Equipment Trailer</v>
          </cell>
          <cell r="P143" t="str">
            <v>n/a</v>
          </cell>
        </row>
        <row r="144">
          <cell r="A144">
            <v>216</v>
          </cell>
          <cell r="B144" t="str">
            <v>1GBHC24U16E203532</v>
          </cell>
          <cell r="C144" t="str">
            <v>E510ZE</v>
          </cell>
          <cell r="D144">
            <v>2006</v>
          </cell>
          <cell r="E144" t="str">
            <v>Chevrolet</v>
          </cell>
          <cell r="F144" t="str">
            <v>Silverado</v>
          </cell>
          <cell r="G144">
            <v>9200</v>
          </cell>
          <cell r="H144" t="str">
            <v>PR460</v>
          </cell>
          <cell r="K144" t="str">
            <v>Utility</v>
          </cell>
          <cell r="L144" t="str">
            <v>V8-G</v>
          </cell>
          <cell r="M144" t="str">
            <v>SV103</v>
          </cell>
          <cell r="N144" t="str">
            <v>OP460</v>
          </cell>
          <cell r="O144" t="str">
            <v>Vicki Weaver Martin</v>
          </cell>
          <cell r="P144" t="str">
            <v>YES</v>
          </cell>
        </row>
        <row r="145">
          <cell r="A145">
            <v>316</v>
          </cell>
          <cell r="B145" t="str">
            <v>1GCDT196068295164</v>
          </cell>
          <cell r="C145" t="str">
            <v>E558ZE</v>
          </cell>
          <cell r="D145">
            <v>2006</v>
          </cell>
          <cell r="E145" t="str">
            <v>Chevrolet</v>
          </cell>
          <cell r="F145" t="str">
            <v>Colorado</v>
          </cell>
          <cell r="G145">
            <v>5300</v>
          </cell>
          <cell r="H145" t="str">
            <v>OP460</v>
          </cell>
          <cell r="K145" t="str">
            <v>Comp. P/U</v>
          </cell>
          <cell r="L145" t="str">
            <v>I5-G</v>
          </cell>
          <cell r="M145" t="str">
            <v>Ops</v>
          </cell>
          <cell r="N145" t="str">
            <v>PR460</v>
          </cell>
          <cell r="O145" t="str">
            <v>Spare</v>
          </cell>
          <cell r="P145" t="str">
            <v>No</v>
          </cell>
        </row>
        <row r="146">
          <cell r="A146">
            <v>588</v>
          </cell>
          <cell r="B146" t="str">
            <v>1GDE4C1G66F429037</v>
          </cell>
          <cell r="C146" t="str">
            <v>GBZ810</v>
          </cell>
          <cell r="D146">
            <v>2006</v>
          </cell>
          <cell r="E146" t="str">
            <v>GMC</v>
          </cell>
          <cell r="F146">
            <v>4500</v>
          </cell>
          <cell r="G146">
            <v>16000</v>
          </cell>
          <cell r="H146" t="str">
            <v>SV411</v>
          </cell>
          <cell r="I146">
            <v>38925</v>
          </cell>
          <cell r="J146">
            <v>46881.45</v>
          </cell>
          <cell r="K146" t="str">
            <v>Utility</v>
          </cell>
          <cell r="L146" t="str">
            <v>8.1L V8-G</v>
          </cell>
          <cell r="M146" t="str">
            <v>Service</v>
          </cell>
          <cell r="N146" t="str">
            <v>SV411</v>
          </cell>
          <cell r="O146" t="str">
            <v>Large Meters</v>
          </cell>
          <cell r="P146" t="str">
            <v>No</v>
          </cell>
        </row>
        <row r="147">
          <cell r="A147">
            <v>176</v>
          </cell>
          <cell r="B147" t="str">
            <v>1FDAF56P46EB93524</v>
          </cell>
          <cell r="C147" t="str">
            <v>GBZ809</v>
          </cell>
          <cell r="D147">
            <v>2006</v>
          </cell>
          <cell r="E147" t="str">
            <v>Ford</v>
          </cell>
          <cell r="F147" t="str">
            <v>F550</v>
          </cell>
          <cell r="G147">
            <v>19000</v>
          </cell>
          <cell r="H147" t="str">
            <v>OP460</v>
          </cell>
          <cell r="I147">
            <v>38929</v>
          </cell>
          <cell r="J147">
            <v>72467.72</v>
          </cell>
          <cell r="K147" t="str">
            <v>Utility</v>
          </cell>
          <cell r="L147" t="str">
            <v>V8-D, I&amp;M, Crane, Liftgate</v>
          </cell>
          <cell r="M147" t="str">
            <v>I&amp;M (Winter Haven)</v>
          </cell>
          <cell r="N147" t="str">
            <v>PR460</v>
          </cell>
          <cell r="P147" t="str">
            <v>No</v>
          </cell>
        </row>
        <row r="148">
          <cell r="A148">
            <v>175</v>
          </cell>
          <cell r="B148" t="str">
            <v>1FDAF56P06EC95340</v>
          </cell>
          <cell r="C148" t="str">
            <v>GBZ816</v>
          </cell>
          <cell r="D148">
            <v>2006</v>
          </cell>
          <cell r="E148" t="str">
            <v>Ford</v>
          </cell>
          <cell r="F148" t="str">
            <v>F550</v>
          </cell>
          <cell r="G148">
            <v>19000</v>
          </cell>
          <cell r="H148" t="str">
            <v>IM430</v>
          </cell>
          <cell r="I148">
            <v>38968</v>
          </cell>
          <cell r="J148">
            <v>75053.070000000007</v>
          </cell>
          <cell r="K148" t="str">
            <v>Utility</v>
          </cell>
          <cell r="L148" t="str">
            <v>V8-D, I&amp;M, Crane, Liftgate</v>
          </cell>
          <cell r="M148" t="str">
            <v>I&amp;M</v>
          </cell>
          <cell r="N148" t="str">
            <v>IM430</v>
          </cell>
          <cell r="O148" t="str">
            <v>Steve Tracey</v>
          </cell>
          <cell r="P148" t="str">
            <v>No</v>
          </cell>
        </row>
        <row r="149">
          <cell r="A149">
            <v>797</v>
          </cell>
          <cell r="B149" t="str">
            <v>1FDAF56P66EB93525</v>
          </cell>
          <cell r="C149" t="str">
            <v>GBZ814</v>
          </cell>
          <cell r="D149">
            <v>2006</v>
          </cell>
          <cell r="E149" t="str">
            <v>Ford</v>
          </cell>
          <cell r="F149" t="str">
            <v>F550</v>
          </cell>
          <cell r="G149">
            <v>19000</v>
          </cell>
          <cell r="H149" t="str">
            <v>PR431</v>
          </cell>
          <cell r="I149">
            <v>39022</v>
          </cell>
          <cell r="J149">
            <v>72465.84</v>
          </cell>
          <cell r="K149" t="str">
            <v>Utility</v>
          </cell>
          <cell r="L149" t="str">
            <v>I&amp;M, Crane, Liftgate</v>
          </cell>
          <cell r="M149" t="str">
            <v>I&amp;M</v>
          </cell>
          <cell r="N149" t="str">
            <v>PR431</v>
          </cell>
          <cell r="O149" t="str">
            <v>Dave Pluta</v>
          </cell>
          <cell r="P149" t="str">
            <v>No</v>
          </cell>
        </row>
        <row r="150">
          <cell r="A150">
            <v>975</v>
          </cell>
          <cell r="B150" t="str">
            <v>1GCEC19Z36Z285382</v>
          </cell>
          <cell r="C150" t="str">
            <v>T005DR</v>
          </cell>
          <cell r="D150">
            <v>2006</v>
          </cell>
          <cell r="E150" t="str">
            <v>Chevrolet</v>
          </cell>
          <cell r="F150" t="str">
            <v>Silverado</v>
          </cell>
          <cell r="G150">
            <v>6200</v>
          </cell>
          <cell r="H150" t="str">
            <v>EL441</v>
          </cell>
          <cell r="I150">
            <v>39022</v>
          </cell>
          <cell r="J150">
            <v>21019.67</v>
          </cell>
          <cell r="K150" t="str">
            <v>Pickup</v>
          </cell>
          <cell r="L150" t="str">
            <v>5.3L V8-G, Ext. Cab</v>
          </cell>
          <cell r="M150" t="str">
            <v>Flag Truck</v>
          </cell>
          <cell r="N150" t="str">
            <v>EL441</v>
          </cell>
          <cell r="O150" t="str">
            <v>Steve Toole</v>
          </cell>
          <cell r="P150" t="str">
            <v>No</v>
          </cell>
        </row>
        <row r="151">
          <cell r="A151">
            <v>587</v>
          </cell>
          <cell r="B151" t="str">
            <v>1GCEC19Z26Z286278</v>
          </cell>
          <cell r="C151" t="str">
            <v>F259FT</v>
          </cell>
          <cell r="D151">
            <v>2006</v>
          </cell>
          <cell r="E151" t="str">
            <v>Chevrolet</v>
          </cell>
          <cell r="F151" t="str">
            <v>Silverado</v>
          </cell>
          <cell r="G151">
            <v>6200</v>
          </cell>
          <cell r="H151" t="str">
            <v>GR410</v>
          </cell>
          <cell r="I151">
            <v>38881</v>
          </cell>
          <cell r="J151">
            <v>21019.279999999999</v>
          </cell>
          <cell r="K151" t="str">
            <v>Pickup</v>
          </cell>
          <cell r="L151" t="str">
            <v>5.3L V8-G, Ext. Cab</v>
          </cell>
          <cell r="M151" t="str">
            <v>Corp Fleet Mgr</v>
          </cell>
          <cell r="N151" t="str">
            <v>GR410</v>
          </cell>
          <cell r="O151" t="str">
            <v>Don Stottsberry</v>
          </cell>
          <cell r="P151" t="str">
            <v>YES</v>
          </cell>
        </row>
        <row r="152">
          <cell r="A152">
            <v>798</v>
          </cell>
          <cell r="B152" t="str">
            <v>1HTWGAAT55J168189</v>
          </cell>
          <cell r="C152" t="str">
            <v>GA4363</v>
          </cell>
          <cell r="D152">
            <v>2005</v>
          </cell>
          <cell r="E152" t="str">
            <v>International</v>
          </cell>
          <cell r="F152">
            <v>7400</v>
          </cell>
          <cell r="G152">
            <v>56000</v>
          </cell>
          <cell r="H152" t="str">
            <v>EL452</v>
          </cell>
          <cell r="I152">
            <v>39052</v>
          </cell>
          <cell r="J152">
            <v>199914.35</v>
          </cell>
          <cell r="K152" t="str">
            <v>Digger Derrick</v>
          </cell>
          <cell r="L152" t="str">
            <v>Altec D4050</v>
          </cell>
          <cell r="M152" t="str">
            <v>Digger Derrick</v>
          </cell>
          <cell r="N152" t="str">
            <v> EL452</v>
          </cell>
          <cell r="O152" t="str">
            <v xml:space="preserve"> Poles and transformers </v>
          </cell>
          <cell r="P152" t="str">
            <v>No</v>
          </cell>
        </row>
        <row r="153">
          <cell r="A153">
            <v>866</v>
          </cell>
          <cell r="B153" t="str">
            <v>1R9PD25286M356430</v>
          </cell>
          <cell r="C153" t="str">
            <v>GBX370</v>
          </cell>
          <cell r="D153">
            <v>2006</v>
          </cell>
          <cell r="E153" t="str">
            <v>RollsRite</v>
          </cell>
          <cell r="F153" t="str">
            <v>25KP25HDLP</v>
          </cell>
          <cell r="H153" t="str">
            <v>EL442</v>
          </cell>
          <cell r="I153">
            <v>39052</v>
          </cell>
          <cell r="J153">
            <v>8107.75</v>
          </cell>
          <cell r="K153" t="str">
            <v>Trailer</v>
          </cell>
          <cell r="L153" t="str">
            <v>25-foot</v>
          </cell>
          <cell r="M153" t="str">
            <v>Equipment Trailer</v>
          </cell>
          <cell r="N153" t="str">
            <v>EL442</v>
          </cell>
          <cell r="O153" t="str">
            <v>Equipment Trailer</v>
          </cell>
          <cell r="P153" t="str">
            <v>n/a</v>
          </cell>
        </row>
        <row r="154">
          <cell r="A154">
            <v>178</v>
          </cell>
          <cell r="B154" t="str">
            <v>1FVACXDC97HY14978</v>
          </cell>
          <cell r="C154" t="str">
            <v>GA4354</v>
          </cell>
          <cell r="D154">
            <v>2007</v>
          </cell>
          <cell r="E154" t="str">
            <v>Freightliner</v>
          </cell>
          <cell r="F154" t="str">
            <v>M2106</v>
          </cell>
          <cell r="G154">
            <v>33000</v>
          </cell>
          <cell r="H154" t="str">
            <v>PR460</v>
          </cell>
          <cell r="I154">
            <v>39114</v>
          </cell>
          <cell r="J154">
            <v>96616.24</v>
          </cell>
          <cell r="K154" t="str">
            <v>Bobtail</v>
          </cell>
          <cell r="L154" t="str">
            <v>Texas Weld (1981) 3000 s/n 79002 re-chassis'd from CF's old 31</v>
          </cell>
          <cell r="M154" t="str">
            <v>Bobtail</v>
          </cell>
          <cell r="N154" t="str">
            <v>OP460</v>
          </cell>
          <cell r="P154" t="str">
            <v>No</v>
          </cell>
        </row>
        <row r="155">
          <cell r="A155">
            <v>179</v>
          </cell>
          <cell r="B155" t="str">
            <v>1FVACXDCO7HY14979</v>
          </cell>
          <cell r="C155" t="str">
            <v>GBP662</v>
          </cell>
          <cell r="D155">
            <v>2007</v>
          </cell>
          <cell r="E155" t="str">
            <v>Freightliner</v>
          </cell>
          <cell r="F155" t="str">
            <v>M2106</v>
          </cell>
          <cell r="G155">
            <v>33000</v>
          </cell>
          <cell r="H155" t="str">
            <v>PR431</v>
          </cell>
          <cell r="I155">
            <v>39122</v>
          </cell>
          <cell r="J155">
            <v>103963.6</v>
          </cell>
          <cell r="K155" t="str">
            <v>Bobtail</v>
          </cell>
          <cell r="L155" t="str">
            <v>Arrow 3499</v>
          </cell>
          <cell r="M155" t="str">
            <v>Bobtail</v>
          </cell>
          <cell r="N155" t="str">
            <v>PR431</v>
          </cell>
          <cell r="O155" t="str">
            <v>David Flowers</v>
          </cell>
          <cell r="P155" t="str">
            <v>No</v>
          </cell>
        </row>
        <row r="156">
          <cell r="A156">
            <v>324</v>
          </cell>
          <cell r="B156" t="str">
            <v>1G1ZT58N37F197127</v>
          </cell>
          <cell r="C156" t="str">
            <v>I150DE</v>
          </cell>
          <cell r="D156">
            <v>2007</v>
          </cell>
          <cell r="E156" t="str">
            <v>Chevrolet</v>
          </cell>
          <cell r="F156" t="str">
            <v>Malibu</v>
          </cell>
          <cell r="G156">
            <v>4233</v>
          </cell>
          <cell r="H156" t="str">
            <v>MK411</v>
          </cell>
          <cell r="K156" t="str">
            <v>Sedan</v>
          </cell>
          <cell r="L156" t="str">
            <v>V6-G</v>
          </cell>
          <cell r="M156" t="str">
            <v>Builder Rep / Office</v>
          </cell>
          <cell r="N156" t="str">
            <v>MK411</v>
          </cell>
          <cell r="O156" t="str">
            <v>Patricia Spalding</v>
          </cell>
          <cell r="P156" t="str">
            <v>YES</v>
          </cell>
        </row>
        <row r="157">
          <cell r="A157">
            <v>321</v>
          </cell>
          <cell r="B157" t="str">
            <v>1GCDT19E378186383</v>
          </cell>
          <cell r="C157" t="str">
            <v>I711DE</v>
          </cell>
          <cell r="D157">
            <v>2007</v>
          </cell>
          <cell r="E157" t="str">
            <v>Chevrolet</v>
          </cell>
          <cell r="F157" t="str">
            <v>Colorado</v>
          </cell>
          <cell r="G157">
            <v>5300</v>
          </cell>
          <cell r="H157" t="str">
            <v>OP460</v>
          </cell>
          <cell r="K157" t="str">
            <v>Comp. P/U</v>
          </cell>
          <cell r="L157" t="str">
            <v>I5-G, Leak Survey</v>
          </cell>
          <cell r="M157" t="str">
            <v>Ops</v>
          </cell>
          <cell r="N157" t="str">
            <v>PR460</v>
          </cell>
          <cell r="O157" t="str">
            <v>Leak Survey</v>
          </cell>
          <cell r="P157" t="str">
            <v>No</v>
          </cell>
        </row>
        <row r="158">
          <cell r="A158">
            <v>325</v>
          </cell>
          <cell r="B158" t="str">
            <v>1GCEC19X67Z181226</v>
          </cell>
          <cell r="C158" t="str">
            <v>I149DE</v>
          </cell>
          <cell r="D158">
            <v>2007</v>
          </cell>
          <cell r="E158" t="str">
            <v>Chevrolet</v>
          </cell>
          <cell r="F158" t="str">
            <v>Silverado</v>
          </cell>
          <cell r="G158">
            <v>6200</v>
          </cell>
          <cell r="H158" t="str">
            <v>OP460</v>
          </cell>
          <cell r="K158" t="str">
            <v>Pickup</v>
          </cell>
          <cell r="L158" t="str">
            <v>V6-G</v>
          </cell>
          <cell r="M158" t="str">
            <v>Ops Tech II / Ops</v>
          </cell>
          <cell r="N158" t="str">
            <v>PR460</v>
          </cell>
          <cell r="O158" t="str">
            <v>Greg Tharp</v>
          </cell>
          <cell r="P158" t="str">
            <v>YES</v>
          </cell>
        </row>
        <row r="159">
          <cell r="A159">
            <v>322</v>
          </cell>
          <cell r="B159" t="str">
            <v>2G1WT58K979223635</v>
          </cell>
          <cell r="C159" t="str">
            <v>HO35IG</v>
          </cell>
          <cell r="D159">
            <v>2007</v>
          </cell>
          <cell r="E159" t="str">
            <v>Chevrolet</v>
          </cell>
          <cell r="F159" t="str">
            <v>Impala</v>
          </cell>
          <cell r="G159">
            <v>4571</v>
          </cell>
          <cell r="H159" t="str">
            <v>OP460</v>
          </cell>
          <cell r="K159" t="str">
            <v>Sedan</v>
          </cell>
          <cell r="L159" t="str">
            <v>V6-G</v>
          </cell>
          <cell r="M159" t="str">
            <v>Sales Mgr / Office</v>
          </cell>
          <cell r="N159" t="str">
            <v>PR460</v>
          </cell>
          <cell r="O159" t="str">
            <v>Ben Semchuck</v>
          </cell>
          <cell r="P159" t="str">
            <v>No</v>
          </cell>
        </row>
        <row r="160">
          <cell r="A160">
            <v>183</v>
          </cell>
          <cell r="B160" t="str">
            <v>43ZDG22B870002475</v>
          </cell>
          <cell r="C160" t="str">
            <v>GCP618</v>
          </cell>
          <cell r="D160">
            <v>2007</v>
          </cell>
          <cell r="E160" t="str">
            <v>U-Dump</v>
          </cell>
          <cell r="G160">
            <v>7000</v>
          </cell>
          <cell r="H160" t="str">
            <v>PR460</v>
          </cell>
          <cell r="I160">
            <v>39175</v>
          </cell>
          <cell r="J160">
            <v>5323.12</v>
          </cell>
          <cell r="K160" t="str">
            <v>Trailer</v>
          </cell>
          <cell r="L160" t="str">
            <v>Dump Trailer</v>
          </cell>
          <cell r="M160" t="str">
            <v>Dump Trailer</v>
          </cell>
          <cell r="N160" t="str">
            <v>OP460</v>
          </cell>
          <cell r="O160" t="str">
            <v>N/A</v>
          </cell>
          <cell r="P160" t="str">
            <v>n/a</v>
          </cell>
        </row>
        <row r="161">
          <cell r="A161">
            <v>591</v>
          </cell>
          <cell r="B161" t="str">
            <v>1W4200D1373057533</v>
          </cell>
          <cell r="C161" t="str">
            <v>GBC885</v>
          </cell>
          <cell r="D161">
            <v>2007</v>
          </cell>
          <cell r="E161" t="str">
            <v>Wells Cargo</v>
          </cell>
          <cell r="F161" t="str">
            <v>RF6101</v>
          </cell>
          <cell r="G161">
            <v>2990</v>
          </cell>
          <cell r="H161" t="str">
            <v>SY410</v>
          </cell>
          <cell r="I161">
            <v>39190</v>
          </cell>
          <cell r="J161">
            <v>3568.24</v>
          </cell>
          <cell r="K161" t="str">
            <v>Trailer</v>
          </cell>
          <cell r="L161" t="str">
            <v>Enclosed - Honda ATV</v>
          </cell>
          <cell r="M161" t="str">
            <v>Equipment Trailer</v>
          </cell>
          <cell r="N161" t="str">
            <v>SY410</v>
          </cell>
          <cell r="O161" t="str">
            <v>Equipment Trailer</v>
          </cell>
          <cell r="P161" t="str">
            <v>n/a</v>
          </cell>
        </row>
        <row r="162">
          <cell r="A162">
            <v>184</v>
          </cell>
          <cell r="B162" t="str">
            <v>1GTCS149578234989</v>
          </cell>
          <cell r="C162" t="str">
            <v>GBC914</v>
          </cell>
          <cell r="D162">
            <v>2007</v>
          </cell>
          <cell r="E162" t="str">
            <v>GMC</v>
          </cell>
          <cell r="F162" t="str">
            <v>Canyon</v>
          </cell>
          <cell r="G162">
            <v>4850</v>
          </cell>
          <cell r="H162" t="str">
            <v>SV430</v>
          </cell>
          <cell r="I162">
            <v>39252</v>
          </cell>
          <cell r="J162">
            <v>13974.42</v>
          </cell>
          <cell r="K162" t="str">
            <v>Comp. P/U</v>
          </cell>
          <cell r="L162" t="str">
            <v>I4-G, Std. Cab</v>
          </cell>
          <cell r="M162" t="str">
            <v>Meter Reader</v>
          </cell>
          <cell r="N162" t="str">
            <v>SV430</v>
          </cell>
          <cell r="O162" t="str">
            <v>Chris Chapman</v>
          </cell>
          <cell r="P162" t="str">
            <v>No</v>
          </cell>
        </row>
        <row r="163">
          <cell r="A163">
            <v>977</v>
          </cell>
          <cell r="B163" t="str">
            <v>1GTCS199378237091</v>
          </cell>
          <cell r="C163" t="str">
            <v>GBC887</v>
          </cell>
          <cell r="D163">
            <v>2007</v>
          </cell>
          <cell r="E163" t="str">
            <v>GMC</v>
          </cell>
          <cell r="F163" t="str">
            <v>Canyon</v>
          </cell>
          <cell r="G163">
            <v>5000</v>
          </cell>
          <cell r="H163" t="str">
            <v>EN440</v>
          </cell>
          <cell r="I163">
            <v>39252</v>
          </cell>
          <cell r="J163">
            <v>17049.689999999999</v>
          </cell>
          <cell r="K163" t="str">
            <v>Comp. P/U</v>
          </cell>
          <cell r="L163" t="str">
            <v>I4-G, Ext. Cab</v>
          </cell>
          <cell r="M163" t="str">
            <v>Eng Tech</v>
          </cell>
          <cell r="N163" t="str">
            <v>EN440</v>
          </cell>
          <cell r="O163" t="str">
            <v>Shane Magnus</v>
          </cell>
          <cell r="P163" t="str">
            <v>YES</v>
          </cell>
        </row>
        <row r="164">
          <cell r="A164">
            <v>593</v>
          </cell>
          <cell r="B164" t="str">
            <v>1GTEC19J77Z609476</v>
          </cell>
          <cell r="C164" t="str">
            <v>GBC923</v>
          </cell>
          <cell r="D164">
            <v>2007</v>
          </cell>
          <cell r="E164" t="str">
            <v>GMC</v>
          </cell>
          <cell r="F164" t="str">
            <v>Sierra</v>
          </cell>
          <cell r="G164">
            <v>6800</v>
          </cell>
          <cell r="H164" t="str">
            <v>IM410</v>
          </cell>
          <cell r="I164">
            <v>39258</v>
          </cell>
          <cell r="J164">
            <v>22434.32</v>
          </cell>
          <cell r="K164" t="str">
            <v>Pickup</v>
          </cell>
          <cell r="L164" t="str">
            <v>5.3L V8-G, Ext. Cab</v>
          </cell>
          <cell r="M164" t="str">
            <v>Field Coordinator</v>
          </cell>
          <cell r="N164" t="str">
            <v>IM410</v>
          </cell>
          <cell r="O164" t="str">
            <v>Danielle Manuel</v>
          </cell>
          <cell r="P164" t="str">
            <v>YES</v>
          </cell>
        </row>
        <row r="165">
          <cell r="A165">
            <v>594</v>
          </cell>
          <cell r="B165" t="str">
            <v>1GTEC19J87Z609521</v>
          </cell>
          <cell r="C165" t="str">
            <v>GBC924</v>
          </cell>
          <cell r="D165">
            <v>2007</v>
          </cell>
          <cell r="E165" t="str">
            <v>GMC</v>
          </cell>
          <cell r="F165" t="str">
            <v>Sierra</v>
          </cell>
          <cell r="G165">
            <v>6800</v>
          </cell>
          <cell r="H165" t="str">
            <v>IM410</v>
          </cell>
          <cell r="I165">
            <v>39258</v>
          </cell>
          <cell r="J165">
            <v>22434.32</v>
          </cell>
          <cell r="K165" t="str">
            <v>Pickup</v>
          </cell>
          <cell r="L165" t="str">
            <v>5.3L V8-G, Ext. Cab</v>
          </cell>
          <cell r="M165" t="str">
            <v>I&amp;M Supv</v>
          </cell>
          <cell r="N165" t="str">
            <v>IM410</v>
          </cell>
          <cell r="O165" t="str">
            <v>Frankie Huggins</v>
          </cell>
          <cell r="P165" t="str">
            <v>YES</v>
          </cell>
        </row>
        <row r="166">
          <cell r="A166">
            <v>978</v>
          </cell>
          <cell r="B166" t="str">
            <v>1GTEC19J87Z621099</v>
          </cell>
          <cell r="C166" t="str">
            <v>147IGX</v>
          </cell>
          <cell r="D166">
            <v>2007</v>
          </cell>
          <cell r="E166" t="str">
            <v>GMC</v>
          </cell>
          <cell r="F166" t="str">
            <v>Sierra</v>
          </cell>
          <cell r="G166">
            <v>6800</v>
          </cell>
          <cell r="H166" t="str">
            <v>EN440</v>
          </cell>
          <cell r="I166">
            <v>39258</v>
          </cell>
          <cell r="J166">
            <v>23206.45</v>
          </cell>
          <cell r="K166" t="str">
            <v>Pickup</v>
          </cell>
          <cell r="L166" t="str">
            <v>5.3L V8-G, Ext. Cab</v>
          </cell>
          <cell r="M166" t="str">
            <v>Eng Mgr</v>
          </cell>
          <cell r="N166" t="str">
            <v>EN440</v>
          </cell>
          <cell r="O166" t="str">
            <v>Steve Toole</v>
          </cell>
          <cell r="P166" t="str">
            <v>YES</v>
          </cell>
        </row>
        <row r="167">
          <cell r="A167">
            <v>185</v>
          </cell>
          <cell r="B167" t="str">
            <v>1FDAF56P77EB01355</v>
          </cell>
          <cell r="C167" t="str">
            <v>GBC935</v>
          </cell>
          <cell r="D167">
            <v>2007</v>
          </cell>
          <cell r="E167" t="str">
            <v>Ford</v>
          </cell>
          <cell r="F167" t="str">
            <v>F550</v>
          </cell>
          <cell r="G167">
            <v>19000</v>
          </cell>
          <cell r="H167" t="str">
            <v>PR460</v>
          </cell>
          <cell r="I167">
            <v>39265</v>
          </cell>
          <cell r="J167">
            <v>71284.990000000005</v>
          </cell>
          <cell r="K167" t="str">
            <v>Utility</v>
          </cell>
          <cell r="L167" t="str">
            <v>V8-D, I&amp;M, Crane, Liftgate</v>
          </cell>
          <cell r="M167" t="str">
            <v>I&amp;M</v>
          </cell>
          <cell r="N167" t="str">
            <v>OP460</v>
          </cell>
          <cell r="P167" t="str">
            <v>No</v>
          </cell>
        </row>
        <row r="168">
          <cell r="A168">
            <v>597</v>
          </cell>
          <cell r="B168" t="str">
            <v>1GDHC29K07E586685</v>
          </cell>
          <cell r="C168" t="str">
            <v>GBC938</v>
          </cell>
          <cell r="D168">
            <v>2007</v>
          </cell>
          <cell r="E168" t="str">
            <v>GMC</v>
          </cell>
          <cell r="F168">
            <v>2500</v>
          </cell>
          <cell r="G168">
            <v>9200</v>
          </cell>
          <cell r="H168" t="str">
            <v>SY410</v>
          </cell>
          <cell r="I168">
            <v>39314</v>
          </cell>
          <cell r="J168">
            <v>35244.78</v>
          </cell>
          <cell r="K168" t="str">
            <v>Utility</v>
          </cell>
          <cell r="L168" t="str">
            <v>6.0L V8-G, Ext. Cab</v>
          </cell>
          <cell r="M168" t="str">
            <v>Sys Ops</v>
          </cell>
          <cell r="N168" t="str">
            <v>SY410</v>
          </cell>
          <cell r="O168" t="str">
            <v>Joe Flores</v>
          </cell>
          <cell r="P168" t="str">
            <v>No</v>
          </cell>
        </row>
        <row r="169">
          <cell r="A169">
            <v>598</v>
          </cell>
          <cell r="B169" t="str">
            <v>1GDHC29K27E587661</v>
          </cell>
          <cell r="C169" t="str">
            <v>GBC915</v>
          </cell>
          <cell r="D169">
            <v>2007</v>
          </cell>
          <cell r="E169" t="str">
            <v>GMC</v>
          </cell>
          <cell r="F169">
            <v>2500</v>
          </cell>
          <cell r="G169">
            <v>9200</v>
          </cell>
          <cell r="H169" t="str">
            <v>SV411</v>
          </cell>
          <cell r="I169">
            <v>39314</v>
          </cell>
          <cell r="J169">
            <v>36246.65</v>
          </cell>
          <cell r="K169" t="str">
            <v>Utility</v>
          </cell>
          <cell r="L169" t="str">
            <v>6.0L V8-G, Ext. Cab</v>
          </cell>
          <cell r="M169" t="str">
            <v>Service</v>
          </cell>
          <cell r="N169" t="str">
            <v>SV411</v>
          </cell>
          <cell r="O169" t="str">
            <v>Todd Jezewski</v>
          </cell>
          <cell r="P169" t="str">
            <v>No</v>
          </cell>
        </row>
        <row r="170">
          <cell r="A170">
            <v>186</v>
          </cell>
          <cell r="B170" t="str">
            <v>1GDHC29K87E588409</v>
          </cell>
          <cell r="C170" t="str">
            <v>GBD005</v>
          </cell>
          <cell r="D170">
            <v>2007</v>
          </cell>
          <cell r="E170" t="str">
            <v>GMC</v>
          </cell>
          <cell r="F170">
            <v>2500</v>
          </cell>
          <cell r="G170">
            <v>9200</v>
          </cell>
          <cell r="H170" t="str">
            <v>IM430</v>
          </cell>
          <cell r="I170">
            <v>39314</v>
          </cell>
          <cell r="J170">
            <v>36325.54</v>
          </cell>
          <cell r="K170" t="str">
            <v>Utility</v>
          </cell>
          <cell r="L170" t="str">
            <v>6.0L V8-G, Ext. Cab</v>
          </cell>
          <cell r="M170" t="str">
            <v>I&amp;M</v>
          </cell>
          <cell r="N170" t="str">
            <v>IM430</v>
          </cell>
          <cell r="O170" t="str">
            <v>Ron Carlton</v>
          </cell>
          <cell r="P170" t="str">
            <v>No</v>
          </cell>
        </row>
        <row r="171">
          <cell r="A171">
            <v>187</v>
          </cell>
          <cell r="B171" t="str">
            <v>1GDHC29K97E589746</v>
          </cell>
          <cell r="C171" t="str">
            <v>GBD001</v>
          </cell>
          <cell r="D171">
            <v>2007</v>
          </cell>
          <cell r="E171" t="str">
            <v>GMC</v>
          </cell>
          <cell r="F171">
            <v>2500</v>
          </cell>
          <cell r="G171">
            <v>9200</v>
          </cell>
          <cell r="H171" t="str">
            <v>SV430</v>
          </cell>
          <cell r="I171">
            <v>39314</v>
          </cell>
          <cell r="J171">
            <v>36325.53</v>
          </cell>
          <cell r="K171" t="str">
            <v>Utility</v>
          </cell>
          <cell r="L171" t="str">
            <v>6.0L V8-G, Ext. Cab</v>
          </cell>
          <cell r="M171" t="str">
            <v>Service</v>
          </cell>
          <cell r="N171" t="str">
            <v>SV430</v>
          </cell>
          <cell r="O171" t="str">
            <v>Mike Ponder</v>
          </cell>
          <cell r="P171" t="str">
            <v>No</v>
          </cell>
        </row>
        <row r="172">
          <cell r="A172">
            <v>599</v>
          </cell>
          <cell r="B172" t="str">
            <v>1GDHC29KX7E590369</v>
          </cell>
          <cell r="C172" t="str">
            <v>GBF946</v>
          </cell>
          <cell r="D172">
            <v>2007</v>
          </cell>
          <cell r="E172" t="str">
            <v>GMC</v>
          </cell>
          <cell r="F172">
            <v>2500</v>
          </cell>
          <cell r="G172">
            <v>9200</v>
          </cell>
          <cell r="H172" t="str">
            <v>SV411</v>
          </cell>
          <cell r="I172">
            <v>39314</v>
          </cell>
          <cell r="J172">
            <v>36246.660000000003</v>
          </cell>
          <cell r="K172" t="str">
            <v>Utility</v>
          </cell>
          <cell r="L172" t="str">
            <v>6.0L V8-G, Ext. Cab</v>
          </cell>
          <cell r="M172" t="str">
            <v>Service</v>
          </cell>
          <cell r="N172" t="str">
            <v>SV411</v>
          </cell>
          <cell r="O172" t="str">
            <v>Scott Connley</v>
          </cell>
          <cell r="P172" t="str">
            <v>No</v>
          </cell>
        </row>
        <row r="173">
          <cell r="A173">
            <v>596</v>
          </cell>
          <cell r="B173" t="str">
            <v>1FDXF46P74ED48892</v>
          </cell>
          <cell r="C173" t="str">
            <v>GBP007</v>
          </cell>
          <cell r="D173">
            <v>2004</v>
          </cell>
          <cell r="E173" t="str">
            <v>Ford</v>
          </cell>
          <cell r="F173" t="str">
            <v>F450</v>
          </cell>
          <cell r="G173">
            <v>15000</v>
          </cell>
          <cell r="H173" t="str">
            <v>SV411</v>
          </cell>
          <cell r="I173">
            <v>39325</v>
          </cell>
          <cell r="J173">
            <v>42264.09</v>
          </cell>
          <cell r="K173" t="str">
            <v>Utility</v>
          </cell>
          <cell r="L173" t="str">
            <v>Altec AT200-A Bucket</v>
          </cell>
          <cell r="M173" t="str">
            <v>Gas Light</v>
          </cell>
          <cell r="N173" t="str">
            <v>SV411</v>
          </cell>
          <cell r="O173" t="str">
            <v>Gas Light</v>
          </cell>
          <cell r="P173" t="str">
            <v>No</v>
          </cell>
        </row>
        <row r="174">
          <cell r="A174">
            <v>600</v>
          </cell>
          <cell r="B174" t="str">
            <v>1GTGG29U971252121</v>
          </cell>
          <cell r="C174" t="str">
            <v>GBF915</v>
          </cell>
          <cell r="D174">
            <v>2007</v>
          </cell>
          <cell r="E174" t="str">
            <v>GMC</v>
          </cell>
          <cell r="F174" t="str">
            <v>Savana 2500</v>
          </cell>
          <cell r="G174">
            <v>8600</v>
          </cell>
          <cell r="H174" t="str">
            <v>MS410</v>
          </cell>
          <cell r="I174">
            <v>39333</v>
          </cell>
          <cell r="J174">
            <v>28569.82</v>
          </cell>
          <cell r="K174" t="str">
            <v>Van</v>
          </cell>
          <cell r="L174" t="str">
            <v>Meter Shop</v>
          </cell>
          <cell r="M174" t="str">
            <v>Measurement Tech</v>
          </cell>
          <cell r="N174" t="str">
            <v>MS410</v>
          </cell>
          <cell r="O174" t="str">
            <v>Joe Gray</v>
          </cell>
          <cell r="P174" t="str">
            <v>No</v>
          </cell>
        </row>
        <row r="175">
          <cell r="A175">
            <v>803</v>
          </cell>
          <cell r="B175" t="str">
            <v>1HTMMAAN08H563216</v>
          </cell>
          <cell r="C175" t="str">
            <v>GA0302</v>
          </cell>
          <cell r="D175">
            <v>2008</v>
          </cell>
          <cell r="E175" t="str">
            <v>International</v>
          </cell>
          <cell r="F175">
            <v>4300</v>
          </cell>
          <cell r="G175">
            <v>33000</v>
          </cell>
          <cell r="H175" t="str">
            <v>PR431</v>
          </cell>
          <cell r="I175">
            <v>39339</v>
          </cell>
          <cell r="J175">
            <v>110865.54</v>
          </cell>
          <cell r="K175" t="str">
            <v>Bobtail</v>
          </cell>
          <cell r="L175" t="str">
            <v>Arrow 3499, s/n 40898</v>
          </cell>
          <cell r="M175" t="str">
            <v>Bobtail</v>
          </cell>
          <cell r="N175" t="str">
            <v>PR431</v>
          </cell>
          <cell r="O175" t="str">
            <v>Terry Simmons</v>
          </cell>
          <cell r="P175" t="str">
            <v>No</v>
          </cell>
        </row>
        <row r="176">
          <cell r="A176">
            <v>601</v>
          </cell>
          <cell r="B176" t="str">
            <v>1GDC4C1G38F400573</v>
          </cell>
          <cell r="C176" t="str">
            <v>GCP675</v>
          </cell>
          <cell r="D176">
            <v>2007</v>
          </cell>
          <cell r="E176" t="str">
            <v>GMC</v>
          </cell>
          <cell r="F176">
            <v>4500</v>
          </cell>
          <cell r="G176">
            <v>16000</v>
          </cell>
          <cell r="H176" t="str">
            <v>PR410</v>
          </cell>
          <cell r="I176">
            <v>39343</v>
          </cell>
          <cell r="J176">
            <v>45948.75</v>
          </cell>
          <cell r="K176" t="str">
            <v>Utility</v>
          </cell>
          <cell r="L176" t="str">
            <v>8.1L V8-G</v>
          </cell>
          <cell r="M176" t="str">
            <v>M&amp;J</v>
          </cell>
          <cell r="N176" t="str">
            <v>PR410</v>
          </cell>
          <cell r="O176" t="str">
            <v>Spare</v>
          </cell>
          <cell r="P176" t="str">
            <v>No</v>
          </cell>
        </row>
        <row r="177">
          <cell r="A177">
            <v>602</v>
          </cell>
          <cell r="B177" t="str">
            <v>1GDC4C1G78F400771</v>
          </cell>
          <cell r="C177" t="str">
            <v>GCP676</v>
          </cell>
          <cell r="D177">
            <v>2007</v>
          </cell>
          <cell r="E177" t="str">
            <v>GMC</v>
          </cell>
          <cell r="F177">
            <v>4500</v>
          </cell>
          <cell r="G177">
            <v>16000</v>
          </cell>
          <cell r="H177" t="str">
            <v>PR410</v>
          </cell>
          <cell r="I177">
            <v>39343</v>
          </cell>
          <cell r="J177">
            <v>45948.76</v>
          </cell>
          <cell r="K177" t="str">
            <v>Utility</v>
          </cell>
          <cell r="L177" t="str">
            <v>8.1L V8-G</v>
          </cell>
          <cell r="M177" t="str">
            <v>M&amp;J</v>
          </cell>
          <cell r="N177" t="str">
            <v>PR410</v>
          </cell>
          <cell r="O177" t="str">
            <v>Sam Medina</v>
          </cell>
          <cell r="P177" t="str">
            <v>No</v>
          </cell>
        </row>
        <row r="178">
          <cell r="A178">
            <v>804</v>
          </cell>
          <cell r="B178" t="str">
            <v>3HTMMAAN88N647032</v>
          </cell>
          <cell r="C178" t="str">
            <v>GBP667</v>
          </cell>
          <cell r="D178">
            <v>2008</v>
          </cell>
          <cell r="E178" t="str">
            <v>International</v>
          </cell>
          <cell r="F178">
            <v>4300</v>
          </cell>
          <cell r="G178">
            <v>33000</v>
          </cell>
          <cell r="H178" t="str">
            <v>EL451</v>
          </cell>
          <cell r="I178">
            <v>39442</v>
          </cell>
          <cell r="J178">
            <v>157319.85</v>
          </cell>
          <cell r="K178" t="str">
            <v>Bucket</v>
          </cell>
          <cell r="L178" t="str">
            <v>TA60</v>
          </cell>
          <cell r="M178" t="str">
            <v>Bucket Truck</v>
          </cell>
          <cell r="N178" t="str">
            <v> EL451</v>
          </cell>
          <cell r="O178" t="str">
            <v>Billy Clardy</v>
          </cell>
          <cell r="P178" t="str">
            <v>No</v>
          </cell>
        </row>
        <row r="179">
          <cell r="A179">
            <v>806</v>
          </cell>
          <cell r="B179" t="str">
            <v>I0HHSE16741000242</v>
          </cell>
          <cell r="C179" t="str">
            <v>GBC897</v>
          </cell>
          <cell r="D179">
            <v>2000</v>
          </cell>
          <cell r="E179" t="str">
            <v>Hudson</v>
          </cell>
          <cell r="F179" t="str">
            <v>HSE16</v>
          </cell>
          <cell r="G179">
            <v>9900</v>
          </cell>
          <cell r="H179" t="str">
            <v>PR431</v>
          </cell>
          <cell r="I179">
            <v>39471</v>
          </cell>
          <cell r="J179">
            <v>1612</v>
          </cell>
          <cell r="K179" t="str">
            <v>Trailer</v>
          </cell>
          <cell r="L179" t="str">
            <v>16' Equipment</v>
          </cell>
          <cell r="M179" t="str">
            <v>Equipment Trailer</v>
          </cell>
          <cell r="N179" t="str">
            <v>PR431</v>
          </cell>
          <cell r="O179" t="str">
            <v>Equipment Trailer</v>
          </cell>
          <cell r="P179" t="str">
            <v>n/a</v>
          </cell>
        </row>
        <row r="180">
          <cell r="A180">
            <v>326</v>
          </cell>
          <cell r="B180" t="str">
            <v>1GCEC19XX8Z206016</v>
          </cell>
          <cell r="C180" t="str">
            <v>620JUT</v>
          </cell>
          <cell r="D180">
            <v>2008</v>
          </cell>
          <cell r="E180" t="str">
            <v>Chevrolet</v>
          </cell>
          <cell r="F180" t="str">
            <v>Silverado</v>
          </cell>
          <cell r="G180">
            <v>6400</v>
          </cell>
          <cell r="H180" t="str">
            <v>OP460</v>
          </cell>
          <cell r="K180" t="str">
            <v>Pickup</v>
          </cell>
          <cell r="L180" t="str">
            <v>V6-G</v>
          </cell>
          <cell r="M180" t="str">
            <v>Meter Tech II / Ops</v>
          </cell>
          <cell r="N180" t="str">
            <v>PR460</v>
          </cell>
          <cell r="O180" t="str">
            <v>Brian Fisher</v>
          </cell>
          <cell r="P180" t="str">
            <v>YES</v>
          </cell>
        </row>
        <row r="181">
          <cell r="A181">
            <v>979</v>
          </cell>
          <cell r="B181" t="str">
            <v>3HTMMAAN18N675318</v>
          </cell>
          <cell r="C181" t="str">
            <v>GA5081</v>
          </cell>
          <cell r="D181">
            <v>2008</v>
          </cell>
          <cell r="E181" t="str">
            <v>International</v>
          </cell>
          <cell r="F181">
            <v>4300</v>
          </cell>
          <cell r="G181">
            <v>33000</v>
          </cell>
          <cell r="H181" t="str">
            <v>EL441</v>
          </cell>
          <cell r="I181">
            <v>39508</v>
          </cell>
          <cell r="J181">
            <v>158044.9</v>
          </cell>
          <cell r="K181" t="str">
            <v>Altec</v>
          </cell>
          <cell r="L181" t="str">
            <v>Digger Derrick, Altec DM45-TR</v>
          </cell>
          <cell r="M181" t="str">
            <v>Digger Derrick</v>
          </cell>
          <cell r="N181" t="str">
            <v>EL441</v>
          </cell>
          <cell r="O181" t="str">
            <v>Andy Bevis</v>
          </cell>
          <cell r="P181" t="str">
            <v>No</v>
          </cell>
        </row>
        <row r="182">
          <cell r="A182">
            <v>327</v>
          </cell>
          <cell r="B182" t="str">
            <v>1GCEK19C28Z101065</v>
          </cell>
          <cell r="C182" t="str">
            <v>631JUT</v>
          </cell>
          <cell r="D182">
            <v>2008</v>
          </cell>
          <cell r="E182" t="str">
            <v>Chevrolet</v>
          </cell>
          <cell r="F182" t="str">
            <v>Silverado</v>
          </cell>
          <cell r="G182">
            <v>7000</v>
          </cell>
          <cell r="H182" t="str">
            <v>OP460</v>
          </cell>
          <cell r="K182" t="str">
            <v>Pickup</v>
          </cell>
          <cell r="L182" t="str">
            <v>V8-G, 4WD</v>
          </cell>
          <cell r="M182" t="str">
            <v>Project Supv / Ops</v>
          </cell>
          <cell r="N182" t="str">
            <v>PR460</v>
          </cell>
          <cell r="O182" t="str">
            <v>Roger Freeze</v>
          </cell>
          <cell r="P182" t="str">
            <v>YES</v>
          </cell>
        </row>
        <row r="183">
          <cell r="A183">
            <v>328</v>
          </cell>
          <cell r="B183" t="str">
            <v>1GCEK19CX8Z207246</v>
          </cell>
          <cell r="C183" t="str">
            <v>632JUT</v>
          </cell>
          <cell r="D183">
            <v>2008</v>
          </cell>
          <cell r="E183" t="str">
            <v>Chevrolet</v>
          </cell>
          <cell r="F183" t="str">
            <v>Silverado</v>
          </cell>
          <cell r="G183">
            <v>7000</v>
          </cell>
          <cell r="H183" t="str">
            <v>OP460</v>
          </cell>
          <cell r="K183" t="str">
            <v>Pickup</v>
          </cell>
          <cell r="L183" t="str">
            <v>V8-G, 4WD</v>
          </cell>
          <cell r="M183" t="str">
            <v>Ops Tech III / Ops</v>
          </cell>
          <cell r="N183" t="str">
            <v>PR460</v>
          </cell>
          <cell r="O183" t="str">
            <v>Denzil Wilson</v>
          </cell>
          <cell r="P183" t="str">
            <v>YES</v>
          </cell>
        </row>
        <row r="184">
          <cell r="A184">
            <v>329</v>
          </cell>
          <cell r="B184" t="str">
            <v>2GCEK13C481196391</v>
          </cell>
          <cell r="C184" t="str">
            <v>619JUT</v>
          </cell>
          <cell r="D184">
            <v>2008</v>
          </cell>
          <cell r="E184" t="str">
            <v>Chevrolet</v>
          </cell>
          <cell r="F184" t="str">
            <v>Silverado</v>
          </cell>
          <cell r="G184">
            <v>7000</v>
          </cell>
          <cell r="H184" t="str">
            <v>MG460</v>
          </cell>
          <cell r="K184" t="str">
            <v>Pickup</v>
          </cell>
          <cell r="L184" t="str">
            <v>V8-G, 4WD</v>
          </cell>
          <cell r="M184" t="str">
            <v>Ops Mgr / Ops</v>
          </cell>
          <cell r="N184" t="str">
            <v>MG460</v>
          </cell>
          <cell r="O184" t="str">
            <v>Jeff Miles</v>
          </cell>
          <cell r="P184" t="str">
            <v>YES</v>
          </cell>
        </row>
        <row r="185">
          <cell r="A185">
            <v>606</v>
          </cell>
          <cell r="B185" t="str">
            <v>4T1BE46K68U782072</v>
          </cell>
          <cell r="C185" t="str">
            <v>068KPF</v>
          </cell>
          <cell r="D185">
            <v>2008</v>
          </cell>
          <cell r="E185" t="str">
            <v>Toyota</v>
          </cell>
          <cell r="F185" t="str">
            <v>Camry</v>
          </cell>
          <cell r="H185" t="str">
            <v>MK411</v>
          </cell>
          <cell r="I185">
            <v>39548</v>
          </cell>
          <cell r="J185">
            <v>25000</v>
          </cell>
          <cell r="K185" t="str">
            <v>Sedan</v>
          </cell>
          <cell r="M185" t="str">
            <v>Sales Mgr</v>
          </cell>
          <cell r="N185" t="str">
            <v>MK411</v>
          </cell>
          <cell r="O185" t="str">
            <v>Dan Lynch</v>
          </cell>
          <cell r="P185" t="str">
            <v>YES</v>
          </cell>
        </row>
        <row r="186">
          <cell r="A186">
            <v>42</v>
          </cell>
          <cell r="B186" t="str">
            <v>1HTMMAANX7H362101</v>
          </cell>
          <cell r="C186" t="str">
            <v>GBP657</v>
          </cell>
          <cell r="D186">
            <v>2007</v>
          </cell>
          <cell r="E186" t="str">
            <v>International</v>
          </cell>
          <cell r="F186">
            <v>4300</v>
          </cell>
          <cell r="G186">
            <v>33000</v>
          </cell>
          <cell r="H186" t="str">
            <v>PR410</v>
          </cell>
          <cell r="I186">
            <v>39570</v>
          </cell>
          <cell r="J186">
            <v>107699.64</v>
          </cell>
          <cell r="K186" t="str">
            <v>Bobtail</v>
          </cell>
          <cell r="L186" t="str">
            <v>KSI w/Arrow 3200 s/n 37192</v>
          </cell>
          <cell r="M186" t="str">
            <v>Bobtail</v>
          </cell>
          <cell r="N186" t="str">
            <v>PR410</v>
          </cell>
          <cell r="O186" t="str">
            <v>Adiel Portales</v>
          </cell>
          <cell r="P186" t="str">
            <v>No</v>
          </cell>
        </row>
        <row r="187">
          <cell r="A187">
            <v>188</v>
          </cell>
          <cell r="B187" t="str">
            <v>1FTYR10D48PB04124</v>
          </cell>
          <cell r="C187" t="str">
            <v>GBC913</v>
          </cell>
          <cell r="D187">
            <v>2008</v>
          </cell>
          <cell r="E187" t="str">
            <v>Ford</v>
          </cell>
          <cell r="F187" t="str">
            <v>Ranger</v>
          </cell>
          <cell r="G187">
            <v>4380</v>
          </cell>
          <cell r="H187" t="str">
            <v>SV430</v>
          </cell>
          <cell r="I187">
            <v>39631</v>
          </cell>
          <cell r="J187">
            <v>13639.11</v>
          </cell>
          <cell r="K187" t="str">
            <v>Comp. P/U</v>
          </cell>
          <cell r="L187" t="str">
            <v>I4-G, Std. Cab</v>
          </cell>
          <cell r="M187" t="str">
            <v>Meter Reader</v>
          </cell>
          <cell r="N187" t="str">
            <v>SV430</v>
          </cell>
          <cell r="O187" t="str">
            <v>Cyndi Cruz</v>
          </cell>
          <cell r="P187" t="str">
            <v>No</v>
          </cell>
        </row>
        <row r="188">
          <cell r="A188">
            <v>189</v>
          </cell>
          <cell r="B188" t="str">
            <v>1FTYR10D68PB04125</v>
          </cell>
          <cell r="C188" t="str">
            <v>GBC918</v>
          </cell>
          <cell r="D188">
            <v>2008</v>
          </cell>
          <cell r="E188" t="str">
            <v>Ford</v>
          </cell>
          <cell r="F188" t="str">
            <v>Ranger</v>
          </cell>
          <cell r="G188">
            <v>4380</v>
          </cell>
          <cell r="H188" t="str">
            <v>NG430</v>
          </cell>
          <cell r="I188">
            <v>39631</v>
          </cell>
          <cell r="J188">
            <v>13639.11</v>
          </cell>
          <cell r="K188" t="str">
            <v>Comp. P/U</v>
          </cell>
          <cell r="L188" t="str">
            <v>I4-G, Std. Cab</v>
          </cell>
          <cell r="M188" t="str">
            <v>Meter Reader</v>
          </cell>
          <cell r="N188" t="str">
            <v>NG430</v>
          </cell>
          <cell r="O188" t="str">
            <v>Ron LeBron</v>
          </cell>
          <cell r="P188" t="str">
            <v>No</v>
          </cell>
        </row>
        <row r="189">
          <cell r="A189">
            <v>190</v>
          </cell>
          <cell r="B189" t="str">
            <v>1GTGG29K681234885</v>
          </cell>
          <cell r="C189" t="str">
            <v>GBC932</v>
          </cell>
          <cell r="D189">
            <v>2008</v>
          </cell>
          <cell r="E189" t="str">
            <v>GMC</v>
          </cell>
          <cell r="F189" t="str">
            <v>Savana 2500</v>
          </cell>
          <cell r="G189">
            <v>8600</v>
          </cell>
          <cell r="H189" t="str">
            <v>SV430</v>
          </cell>
          <cell r="I189">
            <v>39722</v>
          </cell>
          <cell r="J189">
            <v>27008.13</v>
          </cell>
          <cell r="K189" t="str">
            <v>Van</v>
          </cell>
          <cell r="L189" t="str">
            <v>6.0L V8-G</v>
          </cell>
          <cell r="M189" t="str">
            <v>Service</v>
          </cell>
          <cell r="N189" t="str">
            <v>SV430</v>
          </cell>
          <cell r="O189" t="str">
            <v>Jim Whitaker</v>
          </cell>
          <cell r="P189" t="str">
            <v>No</v>
          </cell>
        </row>
        <row r="190">
          <cell r="A190">
            <v>608</v>
          </cell>
          <cell r="B190" t="str">
            <v>1GDJ5C1929F404833</v>
          </cell>
          <cell r="C190" t="str">
            <v>GCW062</v>
          </cell>
          <cell r="D190">
            <v>2009</v>
          </cell>
          <cell r="E190" t="str">
            <v>GMC</v>
          </cell>
          <cell r="F190">
            <v>5500</v>
          </cell>
          <cell r="G190">
            <v>26000</v>
          </cell>
          <cell r="H190" t="str">
            <v>IM410</v>
          </cell>
          <cell r="I190">
            <v>39748</v>
          </cell>
          <cell r="J190">
            <v>56960.78</v>
          </cell>
          <cell r="K190" t="str">
            <v>Dump Trk</v>
          </cell>
          <cell r="L190" t="str">
            <v>V8-D, I&amp;M</v>
          </cell>
          <cell r="M190" t="str">
            <v>I&amp;M</v>
          </cell>
          <cell r="N190" t="str">
            <v>IM410</v>
          </cell>
          <cell r="O190" t="str">
            <v>I&amp;M Dump Truck</v>
          </cell>
          <cell r="P190" t="str">
            <v>No</v>
          </cell>
        </row>
        <row r="191">
          <cell r="A191">
            <v>609</v>
          </cell>
          <cell r="B191" t="str">
            <v>1GDG5C1G89F404036</v>
          </cell>
          <cell r="C191" t="str">
            <v>GCW061</v>
          </cell>
          <cell r="D191">
            <v>2009</v>
          </cell>
          <cell r="E191" t="str">
            <v>GMC</v>
          </cell>
          <cell r="F191">
            <v>5500</v>
          </cell>
          <cell r="G191">
            <v>22000</v>
          </cell>
          <cell r="H191" t="str">
            <v>PR410</v>
          </cell>
          <cell r="I191">
            <v>39756</v>
          </cell>
          <cell r="J191">
            <v>46442.92</v>
          </cell>
          <cell r="K191" t="str">
            <v>Dry Freight</v>
          </cell>
          <cell r="L191" t="str">
            <v>8.1L V8-G, M&amp;J, Liftgate</v>
          </cell>
          <cell r="M191" t="str">
            <v>M&amp;J</v>
          </cell>
          <cell r="N191" t="str">
            <v>PR410</v>
          </cell>
          <cell r="O191" t="str">
            <v>Vacant Position</v>
          </cell>
          <cell r="P191" t="str">
            <v>No</v>
          </cell>
        </row>
        <row r="192">
          <cell r="A192">
            <v>610</v>
          </cell>
          <cell r="B192" t="str">
            <v>1GTGG25K881234960</v>
          </cell>
          <cell r="C192" t="str">
            <v>GBC942</v>
          </cell>
          <cell r="D192">
            <v>2008</v>
          </cell>
          <cell r="E192" t="str">
            <v>GMC</v>
          </cell>
          <cell r="F192" t="str">
            <v>Savana 2500</v>
          </cell>
          <cell r="G192">
            <v>8600</v>
          </cell>
          <cell r="H192" t="str">
            <v>SV411</v>
          </cell>
          <cell r="I192">
            <v>39757</v>
          </cell>
          <cell r="J192">
            <v>26985.040000000001</v>
          </cell>
          <cell r="K192" t="str">
            <v>Van</v>
          </cell>
          <cell r="L192" t="str">
            <v>6.0L V8-G, Service</v>
          </cell>
          <cell r="M192" t="str">
            <v>Service</v>
          </cell>
          <cell r="N192" t="str">
            <v>SV411</v>
          </cell>
          <cell r="O192" t="str">
            <v>Sean Jackson</v>
          </cell>
          <cell r="P192" t="str">
            <v>Yes</v>
          </cell>
        </row>
        <row r="193">
          <cell r="A193">
            <v>611</v>
          </cell>
          <cell r="B193" t="str">
            <v>1GTGG25K981235471</v>
          </cell>
          <cell r="C193" t="str">
            <v>GBC943</v>
          </cell>
          <cell r="D193">
            <v>2008</v>
          </cell>
          <cell r="E193" t="str">
            <v>GMC</v>
          </cell>
          <cell r="F193" t="str">
            <v>Savana 2500</v>
          </cell>
          <cell r="G193">
            <v>8600</v>
          </cell>
          <cell r="H193" t="str">
            <v>SV411</v>
          </cell>
          <cell r="I193">
            <v>39757</v>
          </cell>
          <cell r="J193">
            <v>26985.040000000001</v>
          </cell>
          <cell r="K193" t="str">
            <v>Van</v>
          </cell>
          <cell r="L193" t="str">
            <v>6.0L V8-G, Service</v>
          </cell>
          <cell r="M193" t="str">
            <v>Service</v>
          </cell>
          <cell r="N193" t="str">
            <v>SV411</v>
          </cell>
          <cell r="O193" t="str">
            <v>Bryan Gaugler</v>
          </cell>
          <cell r="P193" t="str">
            <v>Yes</v>
          </cell>
        </row>
        <row r="194">
          <cell r="A194">
            <v>612</v>
          </cell>
          <cell r="B194" t="str">
            <v>1GTGG25K681235623</v>
          </cell>
          <cell r="C194" t="str">
            <v>GBC944</v>
          </cell>
          <cell r="D194">
            <v>2008</v>
          </cell>
          <cell r="E194" t="str">
            <v>GMC</v>
          </cell>
          <cell r="F194" t="str">
            <v>Savana 2500</v>
          </cell>
          <cell r="G194">
            <v>8600</v>
          </cell>
          <cell r="H194" t="str">
            <v>SV411</v>
          </cell>
          <cell r="I194">
            <v>39759</v>
          </cell>
          <cell r="J194">
            <v>26985.040000000001</v>
          </cell>
          <cell r="K194" t="str">
            <v>Van</v>
          </cell>
          <cell r="L194" t="str">
            <v>6.0L V8-G, Service</v>
          </cell>
          <cell r="M194" t="str">
            <v>Service</v>
          </cell>
          <cell r="N194" t="str">
            <v>SV411</v>
          </cell>
          <cell r="O194" t="str">
            <v>Claude Larmonie</v>
          </cell>
          <cell r="P194" t="str">
            <v>Yes</v>
          </cell>
        </row>
        <row r="195">
          <cell r="A195">
            <v>336</v>
          </cell>
          <cell r="B195" t="str">
            <v>1FTRX14WX9KA68637</v>
          </cell>
          <cell r="C195" t="str">
            <v>214VQF</v>
          </cell>
          <cell r="D195">
            <v>2009</v>
          </cell>
          <cell r="E195" t="str">
            <v>Ford</v>
          </cell>
          <cell r="F195" t="str">
            <v>F-150</v>
          </cell>
          <cell r="G195">
            <v>6850</v>
          </cell>
          <cell r="H195" t="str">
            <v>MS410</v>
          </cell>
          <cell r="K195" t="str">
            <v>Pickup</v>
          </cell>
          <cell r="L195" t="str">
            <v>V6-G, 4WD</v>
          </cell>
          <cell r="M195" t="str">
            <v>Meas Tech / Ops</v>
          </cell>
          <cell r="N195" t="str">
            <v>MS410</v>
          </cell>
          <cell r="O195" t="str">
            <v>Alan Hall</v>
          </cell>
          <cell r="P195" t="str">
            <v>YES</v>
          </cell>
        </row>
        <row r="196">
          <cell r="A196">
            <v>337</v>
          </cell>
          <cell r="B196" t="str">
            <v>1FTZR15EX9PA02124</v>
          </cell>
          <cell r="C196" t="str">
            <v>212VQF</v>
          </cell>
          <cell r="D196">
            <v>2009</v>
          </cell>
          <cell r="E196" t="str">
            <v>Ford</v>
          </cell>
          <cell r="F196" t="str">
            <v>Ranger</v>
          </cell>
          <cell r="G196">
            <v>5150</v>
          </cell>
          <cell r="H196" t="str">
            <v>OP460</v>
          </cell>
          <cell r="K196" t="str">
            <v>Comp. P/U</v>
          </cell>
          <cell r="L196" t="str">
            <v>V6-G, 4WD</v>
          </cell>
          <cell r="M196" t="str">
            <v>Ops Tech I / Ops</v>
          </cell>
          <cell r="N196" t="str">
            <v>PR460</v>
          </cell>
          <cell r="O196" t="str">
            <v>Gary Hardy</v>
          </cell>
          <cell r="P196" t="str">
            <v>YES</v>
          </cell>
        </row>
        <row r="197">
          <cell r="A197">
            <v>334</v>
          </cell>
          <cell r="B197" t="str">
            <v>1GCEC19XX9Z158955</v>
          </cell>
          <cell r="C197" t="str">
            <v>768VNB</v>
          </cell>
          <cell r="D197">
            <v>2009</v>
          </cell>
          <cell r="E197" t="str">
            <v>Chevrolet</v>
          </cell>
          <cell r="F197" t="str">
            <v>Silverado</v>
          </cell>
          <cell r="G197">
            <v>6400</v>
          </cell>
          <cell r="H197" t="str">
            <v>OP460</v>
          </cell>
          <cell r="K197" t="str">
            <v>Pickup</v>
          </cell>
          <cell r="L197" t="str">
            <v>V6-G, Ext Cab</v>
          </cell>
          <cell r="M197" t="str">
            <v>Propane Delivery / Ops</v>
          </cell>
          <cell r="N197" t="str">
            <v>PR460</v>
          </cell>
          <cell r="O197" t="str">
            <v>Rich Brabson</v>
          </cell>
          <cell r="P197" t="str">
            <v>YES</v>
          </cell>
        </row>
        <row r="198">
          <cell r="A198">
            <v>335</v>
          </cell>
          <cell r="B198" t="str">
            <v>1GNDT33S592131618</v>
          </cell>
          <cell r="C198" t="str">
            <v>770VNB</v>
          </cell>
          <cell r="D198">
            <v>2009</v>
          </cell>
          <cell r="E198" t="str">
            <v>Chevrolet</v>
          </cell>
          <cell r="F198" t="str">
            <v>TrailBlazer</v>
          </cell>
          <cell r="G198">
            <v>5750</v>
          </cell>
          <cell r="H198" t="str">
            <v>EN400</v>
          </cell>
          <cell r="K198" t="str">
            <v>SUV</v>
          </cell>
          <cell r="L198" t="str">
            <v>V6-G, 4WD</v>
          </cell>
          <cell r="M198" t="str">
            <v>Eng Mgr / Office</v>
          </cell>
          <cell r="N198" t="str">
            <v>EN400</v>
          </cell>
          <cell r="O198" t="str">
            <v>Randy Taylor</v>
          </cell>
          <cell r="P198" t="str">
            <v>YES</v>
          </cell>
        </row>
        <row r="199">
          <cell r="A199">
            <v>333</v>
          </cell>
          <cell r="B199" t="str">
            <v>2GCEC19C991123457</v>
          </cell>
          <cell r="C199" t="str">
            <v>776VNB</v>
          </cell>
          <cell r="D199">
            <v>2009</v>
          </cell>
          <cell r="E199" t="str">
            <v>Chevrolet</v>
          </cell>
          <cell r="F199" t="str">
            <v>Silverado</v>
          </cell>
          <cell r="G199">
            <v>6400</v>
          </cell>
          <cell r="H199" t="str">
            <v>PR460</v>
          </cell>
          <cell r="K199" t="str">
            <v>Pickup</v>
          </cell>
          <cell r="L199" t="str">
            <v>V8-G, Ext Cab</v>
          </cell>
          <cell r="M199" t="str">
            <v>Propane Mgr / Ops</v>
          </cell>
          <cell r="N199" t="str">
            <v>OP460</v>
          </cell>
          <cell r="O199" t="str">
            <v>Steve Hetland</v>
          </cell>
          <cell r="P199" t="str">
            <v>YES</v>
          </cell>
        </row>
        <row r="200">
          <cell r="A200">
            <v>332</v>
          </cell>
          <cell r="B200" t="str">
            <v>3GCEK13C39G194009</v>
          </cell>
          <cell r="C200" t="str">
            <v>767VNB</v>
          </cell>
          <cell r="D200">
            <v>2009</v>
          </cell>
          <cell r="E200" t="str">
            <v>Chevrolet</v>
          </cell>
          <cell r="F200" t="str">
            <v>Silverado</v>
          </cell>
          <cell r="G200">
            <v>7000</v>
          </cell>
          <cell r="H200" t="str">
            <v>SM711</v>
          </cell>
          <cell r="K200" t="str">
            <v>Pickup</v>
          </cell>
          <cell r="L200" t="str">
            <v>V8-G, 4WD</v>
          </cell>
          <cell r="M200" t="str">
            <v>Safety Mgr / Office</v>
          </cell>
          <cell r="N200" t="str">
            <v>SM711</v>
          </cell>
          <cell r="O200" t="str">
            <v>Mike McCarty</v>
          </cell>
          <cell r="P200" t="str">
            <v>YES</v>
          </cell>
        </row>
        <row r="201">
          <cell r="A201">
            <v>980</v>
          </cell>
          <cell r="B201" t="str">
            <v>1FVACYBS89HAE5813</v>
          </cell>
          <cell r="C201" t="str">
            <v>GBQ203</v>
          </cell>
          <cell r="D201">
            <v>2009</v>
          </cell>
          <cell r="E201" t="str">
            <v>Freightliner</v>
          </cell>
          <cell r="F201" t="str">
            <v>BCM2</v>
          </cell>
          <cell r="G201">
            <v>35000</v>
          </cell>
          <cell r="H201" t="str">
            <v>EL442</v>
          </cell>
          <cell r="I201">
            <v>2008</v>
          </cell>
          <cell r="J201">
            <v>133054.60999999999</v>
          </cell>
          <cell r="K201" t="str">
            <v>Altec</v>
          </cell>
          <cell r="L201" t="str">
            <v>TA41M Bucket s/n 0708CL1342</v>
          </cell>
          <cell r="M201" t="str">
            <v>Bucket Truck</v>
          </cell>
          <cell r="N201" t="str">
            <v>EL442</v>
          </cell>
          <cell r="O201" t="str">
            <v>Line Ops</v>
          </cell>
          <cell r="P201" t="str">
            <v>No</v>
          </cell>
        </row>
        <row r="202">
          <cell r="A202">
            <v>340</v>
          </cell>
          <cell r="B202" t="str">
            <v>1GCSKPE39AZ149888</v>
          </cell>
          <cell r="C202" t="str">
            <v>ABVN61</v>
          </cell>
          <cell r="D202">
            <v>2010</v>
          </cell>
          <cell r="E202" t="str">
            <v>Chevrolet</v>
          </cell>
          <cell r="F202" t="str">
            <v>Silverado</v>
          </cell>
          <cell r="G202">
            <v>7000</v>
          </cell>
          <cell r="H202" t="str">
            <v>MS410</v>
          </cell>
          <cell r="K202" t="str">
            <v>Pickup</v>
          </cell>
          <cell r="L202" t="str">
            <v>Ext Cab</v>
          </cell>
          <cell r="M202" t="str">
            <v>Meas Tech / Ops</v>
          </cell>
          <cell r="N202" t="str">
            <v>MS410</v>
          </cell>
          <cell r="O202" t="str">
            <v>David Bradshaw</v>
          </cell>
          <cell r="P202" t="str">
            <v>YES</v>
          </cell>
        </row>
        <row r="203">
          <cell r="A203">
            <v>339</v>
          </cell>
          <cell r="B203" t="str">
            <v>2G1WB5EKXA1188603</v>
          </cell>
          <cell r="C203" t="str">
            <v>ABVN60</v>
          </cell>
          <cell r="D203">
            <v>2010</v>
          </cell>
          <cell r="E203" t="str">
            <v>Chevrolet</v>
          </cell>
          <cell r="F203" t="str">
            <v>Impala</v>
          </cell>
          <cell r="G203">
            <v>4571</v>
          </cell>
          <cell r="H203" t="str">
            <v>MK414</v>
          </cell>
          <cell r="K203" t="str">
            <v>Sedan</v>
          </cell>
          <cell r="L203" t="str">
            <v>V6-G</v>
          </cell>
          <cell r="M203" t="str">
            <v>Bus Dev Drctr / Office</v>
          </cell>
          <cell r="N203" t="str">
            <v>MK414</v>
          </cell>
          <cell r="O203" t="str">
            <v>John McLelland</v>
          </cell>
          <cell r="P203" t="str">
            <v>YES</v>
          </cell>
        </row>
        <row r="204">
          <cell r="A204">
            <v>209</v>
          </cell>
          <cell r="B204" t="str">
            <v>1FTFX1CV5AFC85750</v>
          </cell>
          <cell r="C204" t="str">
            <v>GBP339</v>
          </cell>
          <cell r="D204">
            <v>2010</v>
          </cell>
          <cell r="E204" t="str">
            <v>Ford</v>
          </cell>
          <cell r="F204" t="str">
            <v>F-150</v>
          </cell>
          <cell r="G204">
            <v>7050</v>
          </cell>
          <cell r="H204" t="str">
            <v>PR431</v>
          </cell>
          <cell r="I204">
            <v>40391</v>
          </cell>
          <cell r="J204">
            <v>25059.82</v>
          </cell>
          <cell r="K204" t="str">
            <v>Pickup</v>
          </cell>
          <cell r="L204" t="str">
            <v>5.4L V8-G, Ext. Cab</v>
          </cell>
          <cell r="M204" t="str">
            <v>Flo-Gas Supv</v>
          </cell>
          <cell r="N204" t="str">
            <v>PR431</v>
          </cell>
          <cell r="O204" t="str">
            <v>Greg Blazina</v>
          </cell>
          <cell r="P204" t="str">
            <v>YES</v>
          </cell>
        </row>
        <row r="205">
          <cell r="A205">
            <v>208</v>
          </cell>
          <cell r="B205" t="str">
            <v>1FTFX1CV7AFC85748</v>
          </cell>
          <cell r="C205" t="str">
            <v>GBP134</v>
          </cell>
          <cell r="D205">
            <v>2010</v>
          </cell>
          <cell r="E205" t="str">
            <v>Ford</v>
          </cell>
          <cell r="F205" t="str">
            <v>F-150</v>
          </cell>
          <cell r="G205">
            <v>7050</v>
          </cell>
          <cell r="H205" t="str">
            <v>SY430</v>
          </cell>
          <cell r="I205">
            <v>40391</v>
          </cell>
          <cell r="J205">
            <v>25059.82</v>
          </cell>
          <cell r="K205" t="str">
            <v>Pickup</v>
          </cell>
          <cell r="L205" t="str">
            <v>5.4L V8-G, Ext. Cab</v>
          </cell>
          <cell r="M205" t="str">
            <v>Sys Ops Supv</v>
          </cell>
          <cell r="N205" t="str">
            <v>SY430</v>
          </cell>
          <cell r="O205" t="str">
            <v>Glenn Pendleton</v>
          </cell>
          <cell r="P205" t="str">
            <v>YES</v>
          </cell>
        </row>
        <row r="206">
          <cell r="A206">
            <v>811</v>
          </cell>
          <cell r="B206" t="str">
            <v>1FTFX1CV7AFC85751</v>
          </cell>
          <cell r="C206" t="str">
            <v>GBC917</v>
          </cell>
          <cell r="D206">
            <v>2010</v>
          </cell>
          <cell r="E206" t="str">
            <v>Ford</v>
          </cell>
          <cell r="F206" t="str">
            <v>F-150</v>
          </cell>
          <cell r="G206">
            <v>7050</v>
          </cell>
          <cell r="H206" t="str">
            <v>SM711</v>
          </cell>
          <cell r="I206">
            <v>40391</v>
          </cell>
          <cell r="J206">
            <v>25271.82</v>
          </cell>
          <cell r="K206" t="str">
            <v>Pickup</v>
          </cell>
          <cell r="L206" t="str">
            <v>5.4L V8-G, Ext. Cab</v>
          </cell>
          <cell r="M206" t="str">
            <v>Safety Coordinator</v>
          </cell>
          <cell r="N206" t="str">
            <v> SM711</v>
          </cell>
          <cell r="O206" t="str">
            <v>Tom Moen</v>
          </cell>
          <cell r="P206" t="str">
            <v>YES</v>
          </cell>
        </row>
        <row r="207">
          <cell r="A207">
            <v>982</v>
          </cell>
          <cell r="B207" t="str">
            <v>1FTFX1CV9AFC85749</v>
          </cell>
          <cell r="C207" t="str">
            <v>GBC925</v>
          </cell>
          <cell r="D207">
            <v>2010</v>
          </cell>
          <cell r="E207" t="str">
            <v>Ford</v>
          </cell>
          <cell r="F207" t="str">
            <v>F-150</v>
          </cell>
          <cell r="G207">
            <v>7050</v>
          </cell>
          <cell r="H207" t="str">
            <v>SM711</v>
          </cell>
          <cell r="I207">
            <v>40391</v>
          </cell>
          <cell r="J207">
            <v>25271.82</v>
          </cell>
          <cell r="K207" t="str">
            <v>Pickup</v>
          </cell>
          <cell r="L207" t="str">
            <v>5.4L V8-G, Ext. Cab</v>
          </cell>
          <cell r="M207" t="str">
            <v>Safety Coordinator</v>
          </cell>
          <cell r="N207" t="str">
            <v>SM711</v>
          </cell>
          <cell r="O207" t="str">
            <v>Rhondon Gray</v>
          </cell>
          <cell r="P207" t="str">
            <v>YES</v>
          </cell>
        </row>
        <row r="208">
          <cell r="A208">
            <v>207</v>
          </cell>
          <cell r="B208" t="str">
            <v>1FTKR1EDXAPA40451</v>
          </cell>
          <cell r="C208" t="str">
            <v>GBD003</v>
          </cell>
          <cell r="D208">
            <v>2010</v>
          </cell>
          <cell r="E208" t="str">
            <v>Ford</v>
          </cell>
          <cell r="F208" t="str">
            <v>Ranger</v>
          </cell>
          <cell r="H208" t="str">
            <v>SV430</v>
          </cell>
          <cell r="I208">
            <v>40400</v>
          </cell>
          <cell r="J208">
            <v>16575.84</v>
          </cell>
          <cell r="K208" t="str">
            <v>Comp. P/U</v>
          </cell>
          <cell r="L208" t="str">
            <v>2.3L I4-G, 2-DR Ext Cab</v>
          </cell>
          <cell r="M208" t="str">
            <v>Meter Reader</v>
          </cell>
          <cell r="N208" t="str">
            <v>SV430</v>
          </cell>
          <cell r="O208" t="str">
            <v>Gary Pierce</v>
          </cell>
          <cell r="P208" t="str">
            <v>No</v>
          </cell>
        </row>
        <row r="209">
          <cell r="A209">
            <v>210</v>
          </cell>
          <cell r="B209" t="str">
            <v>1FT7X2A6XBEA79515</v>
          </cell>
          <cell r="C209" t="str">
            <v>GBC950</v>
          </cell>
          <cell r="D209">
            <v>2011</v>
          </cell>
          <cell r="E209" t="str">
            <v>Ford</v>
          </cell>
          <cell r="F209" t="str">
            <v>F-250</v>
          </cell>
          <cell r="G209">
            <v>9400</v>
          </cell>
          <cell r="H209" t="str">
            <v>SY430</v>
          </cell>
          <cell r="I209">
            <v>40402</v>
          </cell>
          <cell r="J209">
            <v>38206</v>
          </cell>
          <cell r="K209" t="str">
            <v>Utility</v>
          </cell>
          <cell r="L209" t="str">
            <v>6.2L V8-G, Ext. Cab</v>
          </cell>
          <cell r="M209" t="str">
            <v>Sys Ops</v>
          </cell>
          <cell r="N209" t="str">
            <v>SY430</v>
          </cell>
          <cell r="O209" t="str">
            <v>Craig O'Brien</v>
          </cell>
          <cell r="P209" t="str">
            <v>No</v>
          </cell>
        </row>
        <row r="210">
          <cell r="A210">
            <v>211</v>
          </cell>
          <cell r="B210" t="str">
            <v>1FT7X2A66BEA79513</v>
          </cell>
          <cell r="C210" t="str">
            <v>GBC951</v>
          </cell>
          <cell r="D210">
            <v>2011</v>
          </cell>
          <cell r="E210" t="str">
            <v>Ford</v>
          </cell>
          <cell r="F210" t="str">
            <v>F-250</v>
          </cell>
          <cell r="G210">
            <v>9400</v>
          </cell>
          <cell r="H210" t="str">
            <v>PR460</v>
          </cell>
          <cell r="I210">
            <v>40408</v>
          </cell>
          <cell r="J210">
            <v>37003.160000000003</v>
          </cell>
          <cell r="K210" t="str">
            <v>Utility</v>
          </cell>
          <cell r="L210" t="str">
            <v>6.2L V8-G, Ext. Cab</v>
          </cell>
          <cell r="M210" t="str">
            <v>Service</v>
          </cell>
          <cell r="N210" t="str">
            <v>OP460</v>
          </cell>
          <cell r="O210" t="str">
            <v>Phil Zimmer</v>
          </cell>
          <cell r="P210" t="str">
            <v>YES</v>
          </cell>
        </row>
        <row r="211">
          <cell r="A211">
            <v>212</v>
          </cell>
          <cell r="B211" t="str">
            <v>1FT7X2A68BEA79514</v>
          </cell>
          <cell r="C211" t="str">
            <v>GBC952</v>
          </cell>
          <cell r="D211">
            <v>2011</v>
          </cell>
          <cell r="E211" t="str">
            <v>Ford</v>
          </cell>
          <cell r="F211" t="str">
            <v>F-250</v>
          </cell>
          <cell r="G211">
            <v>9400</v>
          </cell>
          <cell r="H211" t="str">
            <v>PR460</v>
          </cell>
          <cell r="I211">
            <v>40408</v>
          </cell>
          <cell r="J211">
            <v>37003.18</v>
          </cell>
          <cell r="K211" t="str">
            <v>Utility</v>
          </cell>
          <cell r="L211" t="str">
            <v>6.2L V8-G, Ext. Cab</v>
          </cell>
          <cell r="M211" t="str">
            <v>Service</v>
          </cell>
          <cell r="N211" t="str">
            <v>OP460</v>
          </cell>
          <cell r="O211" t="str">
            <v>Dave Shreckengost</v>
          </cell>
          <cell r="P211" t="str">
            <v>YES</v>
          </cell>
        </row>
        <row r="212">
          <cell r="A212">
            <v>812</v>
          </cell>
          <cell r="B212" t="str">
            <v>1FTKR4EE7APA74194</v>
          </cell>
          <cell r="C212" t="str">
            <v>GBC945</v>
          </cell>
          <cell r="D212">
            <v>2010</v>
          </cell>
          <cell r="E212" t="str">
            <v>Ford</v>
          </cell>
          <cell r="F212" t="str">
            <v>Ranger</v>
          </cell>
          <cell r="H212" t="str">
            <v>EN450</v>
          </cell>
          <cell r="I212">
            <v>40408</v>
          </cell>
          <cell r="J212">
            <v>22294.54</v>
          </cell>
          <cell r="K212" t="str">
            <v>Comp. P/U</v>
          </cell>
          <cell r="L212" t="str">
            <v>4.0L V6-G, 4-dr Super Cab</v>
          </cell>
          <cell r="M212" t="str">
            <v>Sr. Engineer</v>
          </cell>
          <cell r="N212" t="str">
            <v> EN450</v>
          </cell>
          <cell r="O212" t="str">
            <v>Curtis Boatright</v>
          </cell>
          <cell r="P212" t="str">
            <v>No</v>
          </cell>
        </row>
        <row r="213">
          <cell r="A213">
            <v>616</v>
          </cell>
          <cell r="B213" t="str">
            <v>1GKLRMED0AJ238050</v>
          </cell>
          <cell r="C213" t="str">
            <v>ADCZ86</v>
          </cell>
          <cell r="D213">
            <v>2010</v>
          </cell>
          <cell r="E213" t="str">
            <v>GMC</v>
          </cell>
          <cell r="F213" t="str">
            <v>Acadia</v>
          </cell>
          <cell r="H213" t="str">
            <v>CS400</v>
          </cell>
          <cell r="I213">
            <v>40354</v>
          </cell>
          <cell r="J213">
            <v>38600</v>
          </cell>
          <cell r="K213" t="str">
            <v>SUV</v>
          </cell>
          <cell r="L213" t="str">
            <v>3.6L V6-G</v>
          </cell>
          <cell r="M213" t="str">
            <v>VP Customer Care</v>
          </cell>
          <cell r="N213" t="str">
            <v>CS400</v>
          </cell>
          <cell r="O213" t="str">
            <v>Jeff Sylvester</v>
          </cell>
          <cell r="P213" t="str">
            <v>YES</v>
          </cell>
        </row>
        <row r="214">
          <cell r="A214">
            <v>618</v>
          </cell>
          <cell r="B214" t="str">
            <v>5GALRBED8AJ252814</v>
          </cell>
          <cell r="C214" t="str">
            <v>ADYD49</v>
          </cell>
          <cell r="D214">
            <v>2010</v>
          </cell>
          <cell r="E214" t="str">
            <v>Buick</v>
          </cell>
          <cell r="F214" t="str">
            <v>Enclave</v>
          </cell>
          <cell r="H214" t="str">
            <v>MK400</v>
          </cell>
          <cell r="I214">
            <v>40390</v>
          </cell>
          <cell r="J214">
            <v>38600</v>
          </cell>
          <cell r="K214" t="str">
            <v>SUV</v>
          </cell>
          <cell r="L214" t="str">
            <v>3.6L V6-G</v>
          </cell>
          <cell r="M214" t="str">
            <v>Vice President</v>
          </cell>
          <cell r="N214" t="str">
            <v>MK400</v>
          </cell>
          <cell r="O214" t="str">
            <v>Kevin Webber</v>
          </cell>
          <cell r="P214" t="str">
            <v>YES</v>
          </cell>
        </row>
        <row r="215">
          <cell r="A215">
            <v>813</v>
          </cell>
          <cell r="B215" t="str">
            <v>1FTFX1CV7AFD34060</v>
          </cell>
          <cell r="C215" t="str">
            <v>693NVX</v>
          </cell>
          <cell r="D215">
            <v>2010</v>
          </cell>
          <cell r="E215" t="str">
            <v>Ford</v>
          </cell>
          <cell r="F215" t="str">
            <v>F-150</v>
          </cell>
          <cell r="G215">
            <v>7050</v>
          </cell>
          <cell r="H215" t="str">
            <v>EL450</v>
          </cell>
          <cell r="I215">
            <v>40452</v>
          </cell>
          <cell r="J215">
            <v>26615.1</v>
          </cell>
          <cell r="K215" t="str">
            <v>Pickup</v>
          </cell>
          <cell r="L215" t="str">
            <v>5.4L V8-G, Ext. Cab</v>
          </cell>
          <cell r="M215" t="str">
            <v>Ops Mgr</v>
          </cell>
          <cell r="N215" t="str">
            <v> EL450</v>
          </cell>
          <cell r="O215" t="str">
            <v>Jorge Puentes</v>
          </cell>
          <cell r="P215" t="str">
            <v>YES</v>
          </cell>
        </row>
        <row r="216">
          <cell r="A216">
            <v>814</v>
          </cell>
          <cell r="B216" t="str">
            <v>1FTFX1CV9AFD34061</v>
          </cell>
          <cell r="C216" t="str">
            <v>694NVX</v>
          </cell>
          <cell r="D216">
            <v>2010</v>
          </cell>
          <cell r="E216" t="str">
            <v>Ford</v>
          </cell>
          <cell r="F216" t="str">
            <v>F-150</v>
          </cell>
          <cell r="G216">
            <v>7050</v>
          </cell>
          <cell r="H216" t="str">
            <v>EN450</v>
          </cell>
          <cell r="I216">
            <v>40452</v>
          </cell>
          <cell r="J216">
            <v>26615.1</v>
          </cell>
          <cell r="K216" t="str">
            <v>Pickup</v>
          </cell>
          <cell r="L216" t="str">
            <v>5.4L V8-G, Ext. Cab</v>
          </cell>
          <cell r="M216" t="str">
            <v>Eng Mgr</v>
          </cell>
          <cell r="N216" t="str">
            <v> EN450</v>
          </cell>
          <cell r="O216" t="str">
            <v>William Grant</v>
          </cell>
          <cell r="P216" t="str">
            <v>YES</v>
          </cell>
        </row>
        <row r="217">
          <cell r="A217">
            <v>213</v>
          </cell>
          <cell r="B217" t="str">
            <v>1GCZGGBG1A1177335</v>
          </cell>
          <cell r="C217" t="str">
            <v>GBC953</v>
          </cell>
          <cell r="D217">
            <v>2010</v>
          </cell>
          <cell r="E217" t="str">
            <v>Chevrolet</v>
          </cell>
          <cell r="F217" t="str">
            <v>Express 2500</v>
          </cell>
          <cell r="G217">
            <v>8600</v>
          </cell>
          <cell r="H217" t="str">
            <v>SV430</v>
          </cell>
          <cell r="I217">
            <v>40484</v>
          </cell>
          <cell r="J217">
            <v>31002.87</v>
          </cell>
          <cell r="K217" t="str">
            <v>Van</v>
          </cell>
          <cell r="L217" t="str">
            <v>6.0L V8-G</v>
          </cell>
          <cell r="M217" t="str">
            <v>Service</v>
          </cell>
          <cell r="N217" t="str">
            <v>SV430</v>
          </cell>
          <cell r="O217" t="str">
            <v>George Speerin</v>
          </cell>
          <cell r="P217" t="str">
            <v>No</v>
          </cell>
        </row>
        <row r="218">
          <cell r="A218">
            <v>214</v>
          </cell>
          <cell r="B218" t="str">
            <v>1GCZGGBG9A1177339</v>
          </cell>
          <cell r="C218" t="str">
            <v>GBC954</v>
          </cell>
          <cell r="D218">
            <v>2010</v>
          </cell>
          <cell r="E218" t="str">
            <v>Chevrolet</v>
          </cell>
          <cell r="F218" t="str">
            <v>Express 2500</v>
          </cell>
          <cell r="G218">
            <v>8600</v>
          </cell>
          <cell r="H218" t="str">
            <v>SV430</v>
          </cell>
          <cell r="I218">
            <v>40484</v>
          </cell>
          <cell r="J218">
            <v>31002.87</v>
          </cell>
          <cell r="K218" t="str">
            <v>Van</v>
          </cell>
          <cell r="L218" t="str">
            <v>6.0L V8-G</v>
          </cell>
          <cell r="M218" t="str">
            <v>Service</v>
          </cell>
          <cell r="N218" t="str">
            <v>SV430</v>
          </cell>
          <cell r="O218" t="str">
            <v>Tim Love</v>
          </cell>
          <cell r="P218" t="str">
            <v>No</v>
          </cell>
        </row>
        <row r="219">
          <cell r="A219">
            <v>626</v>
          </cell>
          <cell r="B219" t="str">
            <v>HHTD1D2B1000023</v>
          </cell>
          <cell r="C219" t="str">
            <v>GBC916</v>
          </cell>
          <cell r="D219">
            <v>2010</v>
          </cell>
          <cell r="E219" t="str">
            <v>Hudson</v>
          </cell>
          <cell r="F219" t="str">
            <v>HTD18D</v>
          </cell>
          <cell r="G219">
            <v>25740</v>
          </cell>
          <cell r="H219" t="str">
            <v>IM410</v>
          </cell>
          <cell r="I219">
            <v>40532</v>
          </cell>
          <cell r="J219">
            <v>9559.7000000000007</v>
          </cell>
          <cell r="K219" t="str">
            <v>Trailer</v>
          </cell>
          <cell r="M219" t="str">
            <v>Equipment Trailer</v>
          </cell>
          <cell r="N219" t="str">
            <v>IM410</v>
          </cell>
          <cell r="O219" t="str">
            <v>Equipment Trailer</v>
          </cell>
          <cell r="P219" t="str">
            <v>n/a</v>
          </cell>
        </row>
        <row r="220">
          <cell r="A220">
            <v>624</v>
          </cell>
          <cell r="B220" t="str">
            <v>1GNKRFED1BJ129740</v>
          </cell>
          <cell r="C220" t="str">
            <v>AJKJ68</v>
          </cell>
          <cell r="D220">
            <v>2011</v>
          </cell>
          <cell r="E220" t="str">
            <v>Chevrolet</v>
          </cell>
          <cell r="F220" t="str">
            <v>Traverse</v>
          </cell>
          <cell r="H220" t="str">
            <v>HR940</v>
          </cell>
          <cell r="I220">
            <v>40514</v>
          </cell>
          <cell r="J220">
            <v>31103.38</v>
          </cell>
          <cell r="K220" t="str">
            <v>SUV</v>
          </cell>
          <cell r="L220" t="str">
            <v>3.6L V6-G</v>
          </cell>
          <cell r="M220" t="str">
            <v>HR Director</v>
          </cell>
          <cell r="N220" t="str">
            <v>HR940</v>
          </cell>
          <cell r="O220" t="str">
            <v>Devon Rudloff</v>
          </cell>
          <cell r="P220" t="str">
            <v>YES</v>
          </cell>
        </row>
        <row r="221">
          <cell r="A221">
            <v>983</v>
          </cell>
          <cell r="B221" t="str">
            <v>1HTMKAAR2BH369867</v>
          </cell>
          <cell r="C221" t="str">
            <v>GBP668</v>
          </cell>
          <cell r="D221">
            <v>2011</v>
          </cell>
          <cell r="E221" t="str">
            <v>International</v>
          </cell>
          <cell r="F221">
            <v>4300</v>
          </cell>
          <cell r="G221">
            <v>43999</v>
          </cell>
          <cell r="H221" t="str">
            <v>EL442</v>
          </cell>
          <cell r="I221">
            <v>40543</v>
          </cell>
          <cell r="J221">
            <v>165412.64000000001</v>
          </cell>
          <cell r="K221" t="str">
            <v>Altec</v>
          </cell>
          <cell r="L221" t="str">
            <v>TA41M Bucket</v>
          </cell>
          <cell r="M221" t="str">
            <v>Bucket Truck</v>
          </cell>
          <cell r="N221" t="str">
            <v>EL442</v>
          </cell>
          <cell r="O221" t="str">
            <v>Brady Foran</v>
          </cell>
          <cell r="P221" t="str">
            <v>No</v>
          </cell>
        </row>
        <row r="222">
          <cell r="A222">
            <v>627</v>
          </cell>
          <cell r="B222" t="str">
            <v>2FMDK3GC9BBA04817</v>
          </cell>
          <cell r="C222" t="str">
            <v>076NWS</v>
          </cell>
          <cell r="D222">
            <v>2011</v>
          </cell>
          <cell r="E222" t="str">
            <v>Ford</v>
          </cell>
          <cell r="F222" t="str">
            <v>Edge</v>
          </cell>
          <cell r="H222" t="str">
            <v>MK410</v>
          </cell>
          <cell r="I222">
            <v>40561</v>
          </cell>
          <cell r="J222">
            <v>27293.53</v>
          </cell>
          <cell r="K222" t="str">
            <v>SUV</v>
          </cell>
          <cell r="L222" t="str">
            <v>3.5L V6-G</v>
          </cell>
          <cell r="M222" t="str">
            <v>Mktg Mgr SF</v>
          </cell>
          <cell r="N222" t="str">
            <v>MK410</v>
          </cell>
          <cell r="O222" t="str">
            <v>Ramiro Sicre</v>
          </cell>
          <cell r="P222" t="str">
            <v>YES</v>
          </cell>
        </row>
        <row r="223">
          <cell r="A223">
            <v>984</v>
          </cell>
          <cell r="B223" t="str">
            <v>2T3ZK4DV7BW011185</v>
          </cell>
          <cell r="C223" t="str">
            <v>F060TI</v>
          </cell>
          <cell r="D223">
            <v>2011</v>
          </cell>
          <cell r="E223" t="str">
            <v>Toyota</v>
          </cell>
          <cell r="F223" t="str">
            <v>Rav4</v>
          </cell>
          <cell r="H223" t="str">
            <v>MK412</v>
          </cell>
          <cell r="I223">
            <v>40577</v>
          </cell>
          <cell r="J223">
            <v>26531.63</v>
          </cell>
          <cell r="K223" t="str">
            <v>SUV</v>
          </cell>
          <cell r="L223" t="str">
            <v>3.5L V6-G</v>
          </cell>
          <cell r="M223" t="str">
            <v>Conservation Rep</v>
          </cell>
          <cell r="N223" t="str">
            <v>MK412</v>
          </cell>
          <cell r="O223" t="str">
            <v>Mason Brock</v>
          </cell>
          <cell r="P223" t="str">
            <v>No</v>
          </cell>
        </row>
        <row r="224">
          <cell r="A224">
            <v>629</v>
          </cell>
          <cell r="B224" t="str">
            <v>4T1BF3EK5BU674316</v>
          </cell>
          <cell r="C224" t="str">
            <v>K412CK</v>
          </cell>
          <cell r="D224">
            <v>2011</v>
          </cell>
          <cell r="E224" t="str">
            <v>Toyota</v>
          </cell>
          <cell r="F224" t="str">
            <v>Camry</v>
          </cell>
          <cell r="H224" t="str">
            <v>MK410</v>
          </cell>
          <cell r="I224">
            <v>40606</v>
          </cell>
          <cell r="J224">
            <v>27389.06</v>
          </cell>
          <cell r="K224" t="str">
            <v>Sedan</v>
          </cell>
          <cell r="L224" t="str">
            <v>I4-G</v>
          </cell>
          <cell r="M224" t="str">
            <v>Mktg Director</v>
          </cell>
          <cell r="N224" t="str">
            <v>MK410</v>
          </cell>
          <cell r="O224" t="str">
            <v>Alieda Socarras</v>
          </cell>
          <cell r="P224" t="str">
            <v>YES</v>
          </cell>
        </row>
        <row r="225">
          <cell r="A225">
            <v>630</v>
          </cell>
          <cell r="B225" t="str">
            <v>4T1BF3EK7BU712533</v>
          </cell>
          <cell r="C225" t="str">
            <v>K410CK</v>
          </cell>
          <cell r="D225">
            <v>2011</v>
          </cell>
          <cell r="E225" t="str">
            <v>Toyota</v>
          </cell>
          <cell r="F225" t="str">
            <v>Camry</v>
          </cell>
          <cell r="H225" t="str">
            <v>CR710</v>
          </cell>
          <cell r="I225">
            <v>40606</v>
          </cell>
          <cell r="J225">
            <v>27389.06</v>
          </cell>
          <cell r="K225" t="str">
            <v>Sedan</v>
          </cell>
          <cell r="L225" t="str">
            <v>I4-G</v>
          </cell>
          <cell r="M225" t="str">
            <v>CC Director</v>
          </cell>
          <cell r="N225" t="str">
            <v>CR710</v>
          </cell>
          <cell r="O225" t="str">
            <v>Mariana Perea</v>
          </cell>
          <cell r="P225" t="str">
            <v>YES</v>
          </cell>
        </row>
        <row r="226">
          <cell r="A226">
            <v>820</v>
          </cell>
          <cell r="B226" t="str">
            <v>1FTKR1AD1BPA72101</v>
          </cell>
          <cell r="C226" t="str">
            <v>GBC973</v>
          </cell>
          <cell r="D226">
            <v>2011</v>
          </cell>
          <cell r="E226" t="str">
            <v>Ford</v>
          </cell>
          <cell r="F226" t="str">
            <v>Ranger</v>
          </cell>
          <cell r="H226" t="str">
            <v>EL452</v>
          </cell>
          <cell r="I226">
            <v>40739</v>
          </cell>
          <cell r="J226">
            <v>17660</v>
          </cell>
          <cell r="K226" t="str">
            <v>Comp. P/U</v>
          </cell>
          <cell r="L226" t="str">
            <v>I4-G, Std. Cab</v>
          </cell>
          <cell r="M226" t="str">
            <v>Meter Reader</v>
          </cell>
          <cell r="N226" t="str">
            <v> EL452</v>
          </cell>
          <cell r="O226" t="str">
            <v>Jevon Brown</v>
          </cell>
          <cell r="P226" t="str">
            <v>No</v>
          </cell>
        </row>
        <row r="227">
          <cell r="A227">
            <v>818</v>
          </cell>
          <cell r="B227" t="str">
            <v>1FTKR1AD5BPA72098</v>
          </cell>
          <cell r="C227" t="str">
            <v>GBC974</v>
          </cell>
          <cell r="D227">
            <v>2011</v>
          </cell>
          <cell r="E227" t="str">
            <v>Ford</v>
          </cell>
          <cell r="F227" t="str">
            <v>Ranger</v>
          </cell>
          <cell r="H227" t="str">
            <v>EL452</v>
          </cell>
          <cell r="I227">
            <v>40739</v>
          </cell>
          <cell r="J227">
            <v>17660</v>
          </cell>
          <cell r="K227" t="str">
            <v>Comp. P/U</v>
          </cell>
          <cell r="L227" t="str">
            <v>I4-G, Std. Cab</v>
          </cell>
          <cell r="M227" t="str">
            <v>Meter Reader</v>
          </cell>
          <cell r="N227" t="str">
            <v> EL452</v>
          </cell>
          <cell r="O227" t="str">
            <v>Mia Goins</v>
          </cell>
          <cell r="P227" t="str">
            <v>No</v>
          </cell>
        </row>
        <row r="228">
          <cell r="A228">
            <v>819</v>
          </cell>
          <cell r="B228" t="str">
            <v>1FTKR1AD7BPA72099</v>
          </cell>
          <cell r="C228" t="str">
            <v>GBC980</v>
          </cell>
          <cell r="D228">
            <v>2011</v>
          </cell>
          <cell r="E228" t="str">
            <v>Ford</v>
          </cell>
          <cell r="F228" t="str">
            <v>Ranger</v>
          </cell>
          <cell r="H228" t="str">
            <v>EL452</v>
          </cell>
          <cell r="I228">
            <v>40739</v>
          </cell>
          <cell r="J228">
            <v>17660</v>
          </cell>
          <cell r="K228" t="str">
            <v>Comp. P/U</v>
          </cell>
          <cell r="L228" t="str">
            <v>I4-G, Std. Cab</v>
          </cell>
          <cell r="M228" t="str">
            <v>Collector</v>
          </cell>
          <cell r="N228" t="str">
            <v> EL452</v>
          </cell>
          <cell r="O228" t="str">
            <v>Sarah Davis</v>
          </cell>
          <cell r="P228" t="str">
            <v>No</v>
          </cell>
        </row>
        <row r="229">
          <cell r="A229">
            <v>817</v>
          </cell>
          <cell r="B229" t="str">
            <v>1FTKR1ADXBPA72100</v>
          </cell>
          <cell r="C229" t="str">
            <v>GBC883</v>
          </cell>
          <cell r="D229">
            <v>2011</v>
          </cell>
          <cell r="E229" t="str">
            <v>Ford</v>
          </cell>
          <cell r="F229" t="str">
            <v>Ranger</v>
          </cell>
          <cell r="H229" t="str">
            <v>EL452</v>
          </cell>
          <cell r="I229">
            <v>40739</v>
          </cell>
          <cell r="J229">
            <v>17660</v>
          </cell>
          <cell r="K229" t="str">
            <v>Comp. P/U</v>
          </cell>
          <cell r="L229" t="str">
            <v>I4-G, Std. Cab</v>
          </cell>
          <cell r="M229" t="str">
            <v>Collector</v>
          </cell>
          <cell r="N229" t="str">
            <v> EL452</v>
          </cell>
          <cell r="O229" t="str">
            <v>Lewis Peacock</v>
          </cell>
          <cell r="P229" t="str">
            <v>No</v>
          </cell>
        </row>
        <row r="230">
          <cell r="A230">
            <v>986</v>
          </cell>
          <cell r="B230" t="str">
            <v>1FTFW1EF0BFC15292</v>
          </cell>
          <cell r="C230" t="str">
            <v>GBC956</v>
          </cell>
          <cell r="D230">
            <v>2011</v>
          </cell>
          <cell r="E230" t="str">
            <v>Ford</v>
          </cell>
          <cell r="F230" t="str">
            <v>F-150</v>
          </cell>
          <cell r="H230" t="str">
            <v>EL441</v>
          </cell>
          <cell r="I230">
            <v>40752</v>
          </cell>
          <cell r="J230">
            <v>31830.25</v>
          </cell>
          <cell r="K230" t="str">
            <v>Pickup</v>
          </cell>
          <cell r="L230" t="str">
            <v>5.0L V8-G, Crew Cab</v>
          </cell>
          <cell r="M230" t="str">
            <v>Line Supv</v>
          </cell>
          <cell r="N230" t="str">
            <v>EL441</v>
          </cell>
          <cell r="O230" t="str">
            <v>Jerry Lewis</v>
          </cell>
          <cell r="P230" t="str">
            <v>YES</v>
          </cell>
        </row>
        <row r="231">
          <cell r="A231">
            <v>985</v>
          </cell>
          <cell r="B231" t="str">
            <v>1FTFW1EF9BFC15291</v>
          </cell>
          <cell r="C231" t="str">
            <v>GBC955</v>
          </cell>
          <cell r="D231">
            <v>2011</v>
          </cell>
          <cell r="E231" t="str">
            <v>Ford</v>
          </cell>
          <cell r="F231" t="str">
            <v>F-150</v>
          </cell>
          <cell r="H231" t="str">
            <v>EL442</v>
          </cell>
          <cell r="I231">
            <v>40752</v>
          </cell>
          <cell r="J231">
            <v>34374.25</v>
          </cell>
          <cell r="K231" t="str">
            <v>Pickup</v>
          </cell>
          <cell r="L231" t="str">
            <v>5.0L V8-G, Crew Cab</v>
          </cell>
          <cell r="M231" t="str">
            <v>Service Supv</v>
          </cell>
          <cell r="N231" t="str">
            <v>EL442</v>
          </cell>
          <cell r="O231" t="str">
            <v>Lynwood Tanner</v>
          </cell>
          <cell r="P231" t="str">
            <v>YES</v>
          </cell>
        </row>
        <row r="232">
          <cell r="A232">
            <v>341</v>
          </cell>
          <cell r="B232" t="str">
            <v>1GTR1TE04BZ408711</v>
          </cell>
          <cell r="C232" t="str">
            <v>GBC890</v>
          </cell>
          <cell r="D232">
            <v>2011</v>
          </cell>
          <cell r="E232" t="str">
            <v>GMC</v>
          </cell>
          <cell r="F232" t="str">
            <v>Sierra</v>
          </cell>
          <cell r="G232">
            <v>6400</v>
          </cell>
          <cell r="H232" t="str">
            <v>SM711</v>
          </cell>
          <cell r="I232">
            <v>40729</v>
          </cell>
          <cell r="J232">
            <v>28445.79</v>
          </cell>
          <cell r="K232" t="str">
            <v>Pickup</v>
          </cell>
          <cell r="L232" t="str">
            <v>5.3L V8-G, Ext Cab</v>
          </cell>
          <cell r="M232" t="str">
            <v>Safety Coordinator / Ops</v>
          </cell>
          <cell r="N232" t="str">
            <v>SM711</v>
          </cell>
          <cell r="O232" t="str">
            <v>Terrance Mike</v>
          </cell>
          <cell r="P232" t="str">
            <v>YES</v>
          </cell>
        </row>
        <row r="233">
          <cell r="A233">
            <v>343</v>
          </cell>
          <cell r="B233" t="str">
            <v>1GTR2TE33BZ409341</v>
          </cell>
          <cell r="C233" t="str">
            <v>GBC946</v>
          </cell>
          <cell r="D233">
            <v>2011</v>
          </cell>
          <cell r="E233" t="str">
            <v>GMC</v>
          </cell>
          <cell r="F233" t="str">
            <v>Sierra</v>
          </cell>
          <cell r="G233">
            <v>7000</v>
          </cell>
          <cell r="H233" t="str">
            <v>MS410</v>
          </cell>
          <cell r="I233">
            <v>40729</v>
          </cell>
          <cell r="J233">
            <v>31673.49</v>
          </cell>
          <cell r="K233" t="str">
            <v>Pickup</v>
          </cell>
          <cell r="L233" t="str">
            <v>5.3L V8-G, Ext Cab, 4WD</v>
          </cell>
          <cell r="M233" t="str">
            <v>Meter Shop</v>
          </cell>
          <cell r="N233" t="str">
            <v>MS410</v>
          </cell>
          <cell r="O233" t="str">
            <v>Ernest Washington</v>
          </cell>
          <cell r="P233" t="str">
            <v>YES</v>
          </cell>
        </row>
        <row r="234">
          <cell r="A234">
            <v>344</v>
          </cell>
          <cell r="B234" t="str">
            <v>1GD21ZCG4BZ414489</v>
          </cell>
          <cell r="C234" t="str">
            <v>GBC928</v>
          </cell>
          <cell r="D234">
            <v>2011</v>
          </cell>
          <cell r="E234" t="str">
            <v>GMC</v>
          </cell>
          <cell r="F234">
            <v>2500</v>
          </cell>
          <cell r="H234" t="str">
            <v>PR460</v>
          </cell>
          <cell r="I234">
            <v>40777</v>
          </cell>
          <cell r="J234">
            <v>40882.300000000003</v>
          </cell>
          <cell r="K234" t="str">
            <v>Utility</v>
          </cell>
          <cell r="L234" t="str">
            <v>6.0L V8-G, Ext Cab</v>
          </cell>
          <cell r="M234" t="str">
            <v>Service</v>
          </cell>
          <cell r="N234" t="str">
            <v>OP460</v>
          </cell>
          <cell r="O234" t="str">
            <v>Gary Bryant</v>
          </cell>
          <cell r="P234" t="str">
            <v>YES</v>
          </cell>
        </row>
        <row r="235">
          <cell r="A235">
            <v>631</v>
          </cell>
          <cell r="B235" t="str">
            <v>1GTW7FCG5B1182955</v>
          </cell>
          <cell r="C235" t="str">
            <v>GBP312</v>
          </cell>
          <cell r="D235">
            <v>2011</v>
          </cell>
          <cell r="E235" t="str">
            <v>GMC</v>
          </cell>
          <cell r="F235" t="str">
            <v>Savana 2500</v>
          </cell>
          <cell r="G235">
            <v>8600</v>
          </cell>
          <cell r="H235" t="str">
            <v>SV411</v>
          </cell>
          <cell r="I235">
            <v>40809</v>
          </cell>
          <cell r="J235">
            <v>35829.53</v>
          </cell>
          <cell r="K235" t="str">
            <v>Van</v>
          </cell>
          <cell r="L235" t="str">
            <v>6.0L V8-G, Service</v>
          </cell>
          <cell r="M235" t="str">
            <v>Service</v>
          </cell>
          <cell r="N235" t="str">
            <v>SV411</v>
          </cell>
          <cell r="O235" t="str">
            <v>Jeff Reitz</v>
          </cell>
        </row>
        <row r="236">
          <cell r="A236">
            <v>632</v>
          </cell>
          <cell r="B236" t="str">
            <v>1GTW7FCG7B1184206</v>
          </cell>
          <cell r="C236" t="str">
            <v>GBC977</v>
          </cell>
          <cell r="D236">
            <v>2011</v>
          </cell>
          <cell r="E236" t="str">
            <v>GMC</v>
          </cell>
          <cell r="F236" t="str">
            <v>Savana 2500</v>
          </cell>
          <cell r="G236">
            <v>8600</v>
          </cell>
          <cell r="H236" t="str">
            <v>SV411</v>
          </cell>
          <cell r="I236">
            <v>40809</v>
          </cell>
          <cell r="J236">
            <v>35829.53</v>
          </cell>
          <cell r="K236" t="str">
            <v>Van</v>
          </cell>
          <cell r="L236" t="str">
            <v>6.0L V8-G, Service</v>
          </cell>
          <cell r="M236" t="str">
            <v>Service</v>
          </cell>
          <cell r="N236" t="str">
            <v>SV411</v>
          </cell>
          <cell r="O236" t="str">
            <v>Cedric Mitchell</v>
          </cell>
        </row>
        <row r="237">
          <cell r="A237">
            <v>987</v>
          </cell>
          <cell r="B237" t="str">
            <v>1FMHK8D85CGA35037</v>
          </cell>
          <cell r="C237" t="str">
            <v>965NKZ</v>
          </cell>
          <cell r="D237">
            <v>2012</v>
          </cell>
          <cell r="E237" t="str">
            <v>Ford</v>
          </cell>
          <cell r="F237" t="str">
            <v>Explorer</v>
          </cell>
          <cell r="H237" t="str">
            <v>GM440</v>
          </cell>
          <cell r="I237">
            <v>40823</v>
          </cell>
          <cell r="J237">
            <v>37781.310000000005</v>
          </cell>
          <cell r="K237" t="str">
            <v>SUV</v>
          </cell>
          <cell r="L237" t="str">
            <v>V6-G, 4WD</v>
          </cell>
          <cell r="M237" t="str">
            <v>Gen Mgr</v>
          </cell>
          <cell r="N237" t="str">
            <v>GM440</v>
          </cell>
          <cell r="O237" t="str">
            <v>Drane Shelley</v>
          </cell>
          <cell r="P237" t="str">
            <v>YES</v>
          </cell>
        </row>
        <row r="238">
          <cell r="A238">
            <v>44</v>
          </cell>
          <cell r="B238" t="str">
            <v>3HTMMAAN8CL611712</v>
          </cell>
          <cell r="C238" t="str">
            <v>GBP655</v>
          </cell>
          <cell r="D238">
            <v>2012</v>
          </cell>
          <cell r="E238" t="str">
            <v>International</v>
          </cell>
          <cell r="F238">
            <v>4300</v>
          </cell>
          <cell r="G238">
            <v>32900</v>
          </cell>
          <cell r="H238" t="str">
            <v>PR410</v>
          </cell>
          <cell r="I238">
            <v>40830</v>
          </cell>
          <cell r="J238">
            <v>110903.41</v>
          </cell>
          <cell r="K238" t="str">
            <v>Bobtail</v>
          </cell>
          <cell r="L238" t="str">
            <v>BT&amp;T 3499 s/n 686</v>
          </cell>
          <cell r="M238" t="str">
            <v>Bobtail</v>
          </cell>
          <cell r="N238" t="str">
            <v>PR410</v>
          </cell>
          <cell r="O238" t="str">
            <v>Unassigned</v>
          </cell>
          <cell r="P238" t="str">
            <v>No</v>
          </cell>
        </row>
        <row r="239">
          <cell r="A239">
            <v>821</v>
          </cell>
          <cell r="B239" t="str">
            <v>1FDRF3G65BED06162</v>
          </cell>
          <cell r="C239" t="str">
            <v>GBC988</v>
          </cell>
          <cell r="D239">
            <v>2011</v>
          </cell>
          <cell r="E239" t="str">
            <v>Ford</v>
          </cell>
          <cell r="F239" t="str">
            <v>F-350</v>
          </cell>
          <cell r="G239">
            <v>13300</v>
          </cell>
          <cell r="H239" t="str">
            <v>EL452</v>
          </cell>
          <cell r="I239">
            <v>40840</v>
          </cell>
          <cell r="J239">
            <v>40706.480000000003</v>
          </cell>
          <cell r="K239" t="str">
            <v>Utility</v>
          </cell>
          <cell r="N239" t="str">
            <v>EL452</v>
          </cell>
          <cell r="O239" t="str">
            <v>Shannon Wagner</v>
          </cell>
          <cell r="P239" t="str">
            <v>No</v>
          </cell>
        </row>
        <row r="240">
          <cell r="A240">
            <v>822</v>
          </cell>
          <cell r="B240" t="str">
            <v>1FDUF5GT0CEA58268</v>
          </cell>
          <cell r="C240" t="str">
            <v>GBC957</v>
          </cell>
          <cell r="D240">
            <v>2012</v>
          </cell>
          <cell r="E240" t="str">
            <v>Ford</v>
          </cell>
          <cell r="F240" t="str">
            <v>F-550</v>
          </cell>
          <cell r="G240">
            <v>19500</v>
          </cell>
          <cell r="H240" t="str">
            <v>EL452</v>
          </cell>
          <cell r="I240">
            <v>40884</v>
          </cell>
          <cell r="J240">
            <v>75457</v>
          </cell>
          <cell r="K240" t="str">
            <v>Utility</v>
          </cell>
          <cell r="L240" t="str">
            <v>6.7L V8-D, Std. Cab / Utility, 5005EH Crane</v>
          </cell>
          <cell r="M240" t="str">
            <v>I&amp;M</v>
          </cell>
          <cell r="N240" t="str">
            <v>EL452</v>
          </cell>
          <cell r="O240" t="str">
            <v>Jeff Hindsley</v>
          </cell>
          <cell r="P240" t="str">
            <v>No</v>
          </cell>
        </row>
        <row r="241">
          <cell r="A241">
            <v>823</v>
          </cell>
          <cell r="B241" t="str">
            <v>1FDUF5GT9CEA58270</v>
          </cell>
          <cell r="C241" t="str">
            <v>GBC883</v>
          </cell>
          <cell r="D241">
            <v>2012</v>
          </cell>
          <cell r="E241" t="str">
            <v>Ford</v>
          </cell>
          <cell r="F241" t="str">
            <v>F-550</v>
          </cell>
          <cell r="G241">
            <v>19500</v>
          </cell>
          <cell r="H241" t="str">
            <v>PR431</v>
          </cell>
          <cell r="I241">
            <v>40884</v>
          </cell>
          <cell r="J241">
            <v>80172</v>
          </cell>
          <cell r="K241" t="str">
            <v>Utility</v>
          </cell>
          <cell r="L241" t="str">
            <v>6.7L V8-D, Std. Cab / Utility, 5005EH Crane</v>
          </cell>
          <cell r="M241" t="str">
            <v>I&amp;M</v>
          </cell>
          <cell r="N241" t="str">
            <v>PR431</v>
          </cell>
          <cell r="O241" t="str">
            <v>Rod Calhoun</v>
          </cell>
          <cell r="P241" t="str">
            <v>No</v>
          </cell>
        </row>
        <row r="242">
          <cell r="A242">
            <v>221</v>
          </cell>
          <cell r="B242" t="str">
            <v>1FDXF7085TVA04673</v>
          </cell>
          <cell r="D242">
            <v>1996</v>
          </cell>
          <cell r="E242" t="str">
            <v>Ford</v>
          </cell>
          <cell r="F242" t="str">
            <v>F Series</v>
          </cell>
          <cell r="G242">
            <v>28000</v>
          </cell>
          <cell r="H242" t="str">
            <v>PR460</v>
          </cell>
          <cell r="I242">
            <v>40909</v>
          </cell>
          <cell r="K242" t="str">
            <v>Bobtail</v>
          </cell>
          <cell r="L242" t="str">
            <v>7.0L V8-LP, East Fabricators (EFABCO)     Newberry</v>
          </cell>
          <cell r="M242" t="str">
            <v>Bobtail</v>
          </cell>
          <cell r="N242" t="str">
            <v>OP460</v>
          </cell>
          <cell r="P242" t="str">
            <v>No</v>
          </cell>
        </row>
        <row r="243">
          <cell r="A243">
            <v>222</v>
          </cell>
          <cell r="B243" t="str">
            <v>1GDM7H1B6YJ504839</v>
          </cell>
          <cell r="D243">
            <v>2000</v>
          </cell>
          <cell r="E243" t="str">
            <v>GMC</v>
          </cell>
          <cell r="F243" t="str">
            <v>C7500</v>
          </cell>
          <cell r="G243">
            <v>32000</v>
          </cell>
          <cell r="H243" t="str">
            <v>PR460</v>
          </cell>
          <cell r="I243">
            <v>40909</v>
          </cell>
          <cell r="K243" t="str">
            <v>Bobtail</v>
          </cell>
          <cell r="L243" t="str">
            <v>7.4L V8-LP, East Fabricators (EFABCO)     Newberry</v>
          </cell>
          <cell r="M243" t="str">
            <v>Bobtail</v>
          </cell>
          <cell r="N243" t="str">
            <v>OP460</v>
          </cell>
          <cell r="P243" t="str">
            <v>No</v>
          </cell>
        </row>
        <row r="244">
          <cell r="A244">
            <v>634</v>
          </cell>
          <cell r="B244" t="str">
            <v>1FMHK7D86CGA50995</v>
          </cell>
          <cell r="C244" t="str">
            <v>F061TI</v>
          </cell>
          <cell r="D244">
            <v>2012</v>
          </cell>
          <cell r="E244" t="str">
            <v>Ford</v>
          </cell>
          <cell r="F244" t="str">
            <v>Explorer</v>
          </cell>
          <cell r="H244" t="str">
            <v>PR400</v>
          </cell>
          <cell r="I244">
            <v>40925</v>
          </cell>
          <cell r="J244">
            <v>33661.99</v>
          </cell>
          <cell r="K244" t="str">
            <v>SUV</v>
          </cell>
          <cell r="L244" t="str">
            <v>V6-G</v>
          </cell>
          <cell r="M244" t="str">
            <v>Propane Director</v>
          </cell>
          <cell r="N244" t="str">
            <v>PR400</v>
          </cell>
          <cell r="O244" t="str">
            <v>Robert Hill</v>
          </cell>
          <cell r="P244" t="str">
            <v>YES</v>
          </cell>
        </row>
        <row r="245">
          <cell r="A245">
            <v>988</v>
          </cell>
          <cell r="B245" t="str">
            <v>1FVHC3BS0CHBN3548</v>
          </cell>
          <cell r="C245" t="str">
            <v>GA1942</v>
          </cell>
          <cell r="D245">
            <v>2012</v>
          </cell>
          <cell r="E245" t="str">
            <v>Freightliner</v>
          </cell>
          <cell r="F245" t="str">
            <v>M2 106</v>
          </cell>
          <cell r="G245">
            <v>56000</v>
          </cell>
          <cell r="H245" t="str">
            <v>EL441</v>
          </cell>
          <cell r="I245">
            <v>40940</v>
          </cell>
          <cell r="J245">
            <v>233799.99</v>
          </cell>
          <cell r="K245" t="str">
            <v>Altec</v>
          </cell>
          <cell r="L245" t="str">
            <v>AA60E Bucket</v>
          </cell>
          <cell r="M245" t="str">
            <v>Bucket Truck</v>
          </cell>
          <cell r="N245" t="str">
            <v>EL441</v>
          </cell>
          <cell r="O245" t="str">
            <v>Darryl Grooms</v>
          </cell>
          <cell r="P245" t="str">
            <v>No</v>
          </cell>
        </row>
        <row r="246">
          <cell r="A246">
            <v>824</v>
          </cell>
          <cell r="B246" t="str">
            <v>1FMCU4K38CKA72858</v>
          </cell>
          <cell r="C246" t="str">
            <v>W396YD</v>
          </cell>
          <cell r="D246">
            <v>2012</v>
          </cell>
          <cell r="E246" t="str">
            <v>Ford</v>
          </cell>
          <cell r="F246" t="str">
            <v>Escape Hybrid</v>
          </cell>
          <cell r="G246">
            <v>4720</v>
          </cell>
          <cell r="H246" t="str">
            <v>MK412</v>
          </cell>
          <cell r="I246">
            <v>40956</v>
          </cell>
          <cell r="J246">
            <v>34226.18</v>
          </cell>
          <cell r="K246" t="str">
            <v>SUV</v>
          </cell>
          <cell r="L246" t="str">
            <v>Electric Hybrid</v>
          </cell>
          <cell r="M246" t="str">
            <v>Conservation Rep</v>
          </cell>
          <cell r="N246" t="str">
            <v>MK412</v>
          </cell>
          <cell r="O246" t="str">
            <v>David Richardson</v>
          </cell>
          <cell r="P246" t="str">
            <v>Yes</v>
          </cell>
        </row>
        <row r="247">
          <cell r="A247">
            <v>122</v>
          </cell>
          <cell r="B247" t="str">
            <v>1FDWF36SXXEF05927</v>
          </cell>
          <cell r="C247" t="str">
            <v>GBF945</v>
          </cell>
          <cell r="D247">
            <v>1999</v>
          </cell>
          <cell r="E247" t="str">
            <v>Ford</v>
          </cell>
          <cell r="F247" t="str">
            <v>F350</v>
          </cell>
          <cell r="G247">
            <v>11200</v>
          </cell>
          <cell r="H247" t="str">
            <v>PR460</v>
          </cell>
          <cell r="I247">
            <v>37288</v>
          </cell>
          <cell r="J247">
            <v>22412.32</v>
          </cell>
          <cell r="K247" t="str">
            <v>Utility body</v>
          </cell>
          <cell r="L247" t="str">
            <v>V8-G, Crane</v>
          </cell>
          <cell r="M247" t="str">
            <v>I&amp;M</v>
          </cell>
          <cell r="N247" t="str">
            <v>OP460</v>
          </cell>
          <cell r="O247" t="str">
            <v>Spare</v>
          </cell>
          <cell r="P247" t="str">
            <v>No</v>
          </cell>
        </row>
        <row r="248">
          <cell r="A248">
            <v>863</v>
          </cell>
          <cell r="B248" t="str">
            <v>1F9UZ13132V048098</v>
          </cell>
          <cell r="C248" t="str">
            <v>GBC998</v>
          </cell>
          <cell r="D248">
            <v>2002</v>
          </cell>
          <cell r="E248" t="str">
            <v>Sauber</v>
          </cell>
          <cell r="H248" t="str">
            <v>EL442</v>
          </cell>
          <cell r="I248">
            <v>2002</v>
          </cell>
          <cell r="J248">
            <v>40265.43</v>
          </cell>
          <cell r="K248" t="str">
            <v>Trailer</v>
          </cell>
          <cell r="L248" t="str">
            <v>Wire Puller</v>
          </cell>
          <cell r="M248" t="str">
            <v>Reel Trailer</v>
          </cell>
          <cell r="N248" t="str">
            <v>EL442</v>
          </cell>
          <cell r="O248" t="str">
            <v>Reel Trailer</v>
          </cell>
          <cell r="P248" t="str">
            <v>n/a</v>
          </cell>
        </row>
        <row r="249">
          <cell r="A249">
            <v>191</v>
          </cell>
          <cell r="B249" t="str">
            <v>1GCEC19C19Z184809</v>
          </cell>
          <cell r="C249" t="str">
            <v>AAYF35</v>
          </cell>
          <cell r="D249">
            <v>2009</v>
          </cell>
          <cell r="E249" t="str">
            <v>Chevrolet</v>
          </cell>
          <cell r="F249" t="str">
            <v>Silverado</v>
          </cell>
          <cell r="G249">
            <v>6800</v>
          </cell>
          <cell r="H249" t="str">
            <v>SM711</v>
          </cell>
          <cell r="K249" t="str">
            <v>Pickup</v>
          </cell>
          <cell r="L249" t="str">
            <v>V8-G, Ext. Cab</v>
          </cell>
          <cell r="M249" t="str">
            <v>Safety Coordinator</v>
          </cell>
          <cell r="N249" t="str">
            <v>SM711</v>
          </cell>
          <cell r="O249" t="str">
            <v>Keith Pomeroy</v>
          </cell>
          <cell r="P249" t="str">
            <v>YES</v>
          </cell>
        </row>
        <row r="250">
          <cell r="A250">
            <v>200</v>
          </cell>
          <cell r="B250">
            <v>61409</v>
          </cell>
          <cell r="C250" t="str">
            <v>GAS898</v>
          </cell>
          <cell r="D250">
            <v>1961</v>
          </cell>
          <cell r="E250" t="str">
            <v>Bristol</v>
          </cell>
          <cell r="H250" t="str">
            <v>PR460</v>
          </cell>
          <cell r="K250" t="str">
            <v>Tank Trailer</v>
          </cell>
          <cell r="L250" t="str">
            <v>Tank Haul</v>
          </cell>
          <cell r="N250" t="str">
            <v>OP460</v>
          </cell>
          <cell r="O250" t="str">
            <v>N/A</v>
          </cell>
          <cell r="P250" t="str">
            <v>n/a</v>
          </cell>
        </row>
        <row r="251">
          <cell r="A251">
            <v>198</v>
          </cell>
          <cell r="B251" t="str">
            <v>10HHTD1D321000032</v>
          </cell>
          <cell r="C251" t="str">
            <v>GBG253</v>
          </cell>
          <cell r="D251">
            <v>2001</v>
          </cell>
          <cell r="E251" t="str">
            <v>Hudson</v>
          </cell>
          <cell r="G251">
            <v>23740</v>
          </cell>
          <cell r="H251" t="str">
            <v>PR460</v>
          </cell>
          <cell r="K251" t="str">
            <v>Trailer</v>
          </cell>
          <cell r="L251" t="str">
            <v>Back Hoe</v>
          </cell>
          <cell r="N251" t="str">
            <v>OP460</v>
          </cell>
          <cell r="O251" t="str">
            <v>N/A</v>
          </cell>
          <cell r="P251" t="str">
            <v>n/a</v>
          </cell>
        </row>
        <row r="252">
          <cell r="A252">
            <v>203</v>
          </cell>
          <cell r="B252" t="str">
            <v>1DSB181JX117V0900</v>
          </cell>
          <cell r="C252" t="str">
            <v>GAS896</v>
          </cell>
          <cell r="D252">
            <v>2001</v>
          </cell>
          <cell r="E252" t="str">
            <v>Ditch Witch</v>
          </cell>
          <cell r="H252" t="str">
            <v>PR460</v>
          </cell>
          <cell r="K252" t="str">
            <v>Trailer</v>
          </cell>
          <cell r="L252" t="str">
            <v>Track Trencher</v>
          </cell>
          <cell r="N252" t="str">
            <v>OP460</v>
          </cell>
          <cell r="O252" t="str">
            <v>N/A</v>
          </cell>
          <cell r="P252" t="str">
            <v>n/a</v>
          </cell>
        </row>
        <row r="253">
          <cell r="A253">
            <v>202</v>
          </cell>
          <cell r="B253" t="str">
            <v>1E9AL08147YL52806</v>
          </cell>
          <cell r="C253" t="str">
            <v>GAS897</v>
          </cell>
          <cell r="D253">
            <v>2000</v>
          </cell>
          <cell r="E253" t="str">
            <v>Emerson</v>
          </cell>
          <cell r="H253" t="str">
            <v>PR460</v>
          </cell>
          <cell r="K253" t="str">
            <v>Trailer</v>
          </cell>
          <cell r="L253" t="str">
            <v>Welder</v>
          </cell>
          <cell r="N253" t="str">
            <v>OP460</v>
          </cell>
          <cell r="O253" t="str">
            <v>N/A</v>
          </cell>
          <cell r="P253" t="str">
            <v>n/a</v>
          </cell>
        </row>
        <row r="254">
          <cell r="A254">
            <v>205</v>
          </cell>
          <cell r="B254" t="str">
            <v>1FV6HJAA3YHB79946</v>
          </cell>
          <cell r="C254" t="str">
            <v>GBP659</v>
          </cell>
          <cell r="D254">
            <v>2000</v>
          </cell>
          <cell r="E254" t="str">
            <v>Freightliner</v>
          </cell>
          <cell r="F254" t="str">
            <v>FL70</v>
          </cell>
          <cell r="G254">
            <v>33000</v>
          </cell>
          <cell r="H254" t="str">
            <v>OP460</v>
          </cell>
          <cell r="K254" t="str">
            <v>Bobtail</v>
          </cell>
          <cell r="L254" t="str">
            <v>V8-D, Krutsinger w/East Fab 3000, s/n 15609-1</v>
          </cell>
          <cell r="M254" t="str">
            <v>CN105 (PR460)</v>
          </cell>
          <cell r="N254" t="str">
            <v>PR460</v>
          </cell>
          <cell r="O254" t="str">
            <v>RICK BRABSON</v>
          </cell>
          <cell r="P254" t="str">
            <v>No</v>
          </cell>
        </row>
        <row r="255">
          <cell r="A255">
            <v>206</v>
          </cell>
          <cell r="B255" t="str">
            <v>1GDM7C1G96F429147</v>
          </cell>
          <cell r="C255" t="str">
            <v>GBP660</v>
          </cell>
          <cell r="D255">
            <v>2006</v>
          </cell>
          <cell r="E255" t="str">
            <v>GMC</v>
          </cell>
          <cell r="F255" t="str">
            <v>C7500</v>
          </cell>
          <cell r="G255">
            <v>33000</v>
          </cell>
          <cell r="H255" t="str">
            <v>OP460</v>
          </cell>
          <cell r="K255" t="str">
            <v>Bobtail</v>
          </cell>
          <cell r="L255" t="str">
            <v>V8-LP, Krutsinger w/Arrow 3000, s/n 39814</v>
          </cell>
          <cell r="M255" t="str">
            <v>SV106 (PR460)</v>
          </cell>
          <cell r="N255" t="str">
            <v>PR460</v>
          </cell>
          <cell r="O255" t="str">
            <v>Spare</v>
          </cell>
          <cell r="P255" t="str">
            <v>No</v>
          </cell>
        </row>
        <row r="256">
          <cell r="A256">
            <v>108</v>
          </cell>
          <cell r="B256" t="str">
            <v>1HTMMAAN65H112626</v>
          </cell>
          <cell r="C256" t="str">
            <v>GBQ202</v>
          </cell>
          <cell r="D256">
            <v>2005</v>
          </cell>
          <cell r="E256" t="str">
            <v>International</v>
          </cell>
          <cell r="G256">
            <v>32900</v>
          </cell>
          <cell r="H256" t="str">
            <v>PR460</v>
          </cell>
          <cell r="K256" t="str">
            <v>Bobtail</v>
          </cell>
          <cell r="L256" t="str">
            <v>Trinity (6/69) 3000 s/n P28359</v>
          </cell>
          <cell r="M256" t="str">
            <v>Bobtail</v>
          </cell>
          <cell r="N256" t="str">
            <v>OP460</v>
          </cell>
          <cell r="O256" t="str">
            <v>Spare</v>
          </cell>
          <cell r="P256" t="str">
            <v>No</v>
          </cell>
        </row>
        <row r="257">
          <cell r="A257">
            <v>43</v>
          </cell>
          <cell r="B257" t="str">
            <v>1HTSCAAN1WH518129</v>
          </cell>
          <cell r="C257" t="str">
            <v>GA1932</v>
          </cell>
          <cell r="D257">
            <v>1998</v>
          </cell>
          <cell r="E257" t="str">
            <v>International</v>
          </cell>
          <cell r="F257">
            <v>4700</v>
          </cell>
          <cell r="G257">
            <v>33000</v>
          </cell>
          <cell r="H257" t="str">
            <v>PR410</v>
          </cell>
          <cell r="K257" t="str">
            <v>Bobtail</v>
          </cell>
          <cell r="L257" t="str">
            <v>DW Camden w/Trinity 3000 s/n 116540</v>
          </cell>
          <cell r="M257" t="str">
            <v>Bobtail</v>
          </cell>
          <cell r="N257" t="str">
            <v>PR410</v>
          </cell>
          <cell r="O257" t="str">
            <v>Morris Rodriguez</v>
          </cell>
          <cell r="P257" t="str">
            <v>No</v>
          </cell>
        </row>
        <row r="258">
          <cell r="A258">
            <v>201</v>
          </cell>
          <cell r="B258" t="str">
            <v>1XNU616T661015524</v>
          </cell>
          <cell r="C258" t="str">
            <v>GAS899</v>
          </cell>
          <cell r="D258">
            <v>2006</v>
          </cell>
          <cell r="E258" t="str">
            <v>Triple Crown</v>
          </cell>
          <cell r="H258" t="str">
            <v>PR460</v>
          </cell>
          <cell r="K258" t="str">
            <v>Trailer</v>
          </cell>
          <cell r="L258" t="str">
            <v>6x16 Utility</v>
          </cell>
          <cell r="N258" t="str">
            <v>OP460</v>
          </cell>
          <cell r="O258" t="str">
            <v>N/A</v>
          </cell>
          <cell r="P258" t="str">
            <v>n/a</v>
          </cell>
        </row>
        <row r="259">
          <cell r="A259">
            <v>199</v>
          </cell>
          <cell r="B259" t="str">
            <v>5WKBE162291004674</v>
          </cell>
          <cell r="C259" t="str">
            <v>GAS900</v>
          </cell>
          <cell r="D259">
            <v>2009</v>
          </cell>
          <cell r="E259" t="str">
            <v>Freedom</v>
          </cell>
          <cell r="G259">
            <v>7000</v>
          </cell>
          <cell r="H259" t="str">
            <v>PR460</v>
          </cell>
          <cell r="K259" t="str">
            <v>Trailer</v>
          </cell>
          <cell r="L259" t="str">
            <v>Enclosed</v>
          </cell>
          <cell r="N259" t="str">
            <v>OP460</v>
          </cell>
          <cell r="O259" t="str">
            <v>N/A</v>
          </cell>
          <cell r="P259" t="str">
            <v>n/a</v>
          </cell>
        </row>
        <row r="260">
          <cell r="A260">
            <v>605</v>
          </cell>
          <cell r="B260">
            <v>28083</v>
          </cell>
          <cell r="C260" t="str">
            <v>GBC871</v>
          </cell>
          <cell r="D260">
            <v>2007</v>
          </cell>
          <cell r="E260" t="str">
            <v>Sullivan</v>
          </cell>
          <cell r="F260" t="str">
            <v>D210Q</v>
          </cell>
          <cell r="G260">
            <v>2367</v>
          </cell>
          <cell r="H260" t="e">
            <v>#N/A</v>
          </cell>
          <cell r="I260">
            <v>39437</v>
          </cell>
          <cell r="J260">
            <v>13755.66</v>
          </cell>
          <cell r="K260" t="str">
            <v>Trailer</v>
          </cell>
          <cell r="L260" t="str">
            <v>Air Compressor</v>
          </cell>
          <cell r="M260" t="str">
            <v>Air Compressor</v>
          </cell>
          <cell r="N260" t="str">
            <v>IM410</v>
          </cell>
          <cell r="O260" t="str">
            <v>Air Compressor</v>
          </cell>
          <cell r="P260" t="str">
            <v>n/a</v>
          </cell>
        </row>
        <row r="261">
          <cell r="A261">
            <v>197</v>
          </cell>
          <cell r="B261">
            <v>29521</v>
          </cell>
          <cell r="C261" t="str">
            <v>GBC876</v>
          </cell>
          <cell r="D261">
            <v>2010</v>
          </cell>
          <cell r="E261" t="str">
            <v>Sullivan</v>
          </cell>
          <cell r="F261" t="str">
            <v>D185PJD</v>
          </cell>
          <cell r="H261" t="e">
            <v>#N/A</v>
          </cell>
          <cell r="K261" t="str">
            <v>Trailer</v>
          </cell>
          <cell r="L261" t="str">
            <v>Air Compressor</v>
          </cell>
          <cell r="M261" t="str">
            <v>Air Compressor</v>
          </cell>
          <cell r="N261" t="str">
            <v>IM430</v>
          </cell>
          <cell r="O261" t="str">
            <v>Air Compressor</v>
          </cell>
          <cell r="P261" t="str">
            <v>n/a</v>
          </cell>
        </row>
        <row r="262">
          <cell r="A262">
            <v>865</v>
          </cell>
          <cell r="B262">
            <v>4034040</v>
          </cell>
          <cell r="C262" t="str">
            <v>GBZ815</v>
          </cell>
          <cell r="D262">
            <v>2003</v>
          </cell>
          <cell r="E262" t="str">
            <v>Solar</v>
          </cell>
          <cell r="H262" t="e">
            <v>#N/A</v>
          </cell>
          <cell r="K262" t="str">
            <v>Trailer</v>
          </cell>
          <cell r="L262" t="str">
            <v>Advance Warner, Asset #3656</v>
          </cell>
          <cell r="M262" t="str">
            <v>Traffic Arrow Trailer</v>
          </cell>
          <cell r="N262" t="str">
            <v>EL442</v>
          </cell>
          <cell r="O262" t="str">
            <v>Traffic Arrow Trailer</v>
          </cell>
          <cell r="P262" t="str">
            <v>n/a</v>
          </cell>
        </row>
        <row r="263">
          <cell r="A263">
            <v>492</v>
          </cell>
          <cell r="B263" t="str">
            <v>16934A</v>
          </cell>
          <cell r="C263" t="str">
            <v>GBC981</v>
          </cell>
          <cell r="E263" t="str">
            <v>Sullivan</v>
          </cell>
          <cell r="F263" t="str">
            <v>D210Q</v>
          </cell>
          <cell r="H263" t="e">
            <v>#N/A</v>
          </cell>
          <cell r="I263">
            <v>37073</v>
          </cell>
          <cell r="K263" t="str">
            <v>Trailer</v>
          </cell>
          <cell r="L263" t="str">
            <v>Air Compressor</v>
          </cell>
          <cell r="M263" t="str">
            <v>Air Compressor</v>
          </cell>
          <cell r="N263" t="str">
            <v>IM410</v>
          </cell>
          <cell r="O263" t="str">
            <v>Air Compressor</v>
          </cell>
          <cell r="P263" t="str">
            <v>n/a</v>
          </cell>
        </row>
        <row r="264">
          <cell r="A264">
            <v>303</v>
          </cell>
          <cell r="B264" t="str">
            <v>1BUD12204M1009255</v>
          </cell>
          <cell r="C264" t="str">
            <v>I131DI</v>
          </cell>
          <cell r="D264">
            <v>1991</v>
          </cell>
          <cell r="E264" t="str">
            <v>Butler</v>
          </cell>
          <cell r="H264" t="e">
            <v>#N/A</v>
          </cell>
          <cell r="K264" t="str">
            <v>Trailer</v>
          </cell>
          <cell r="L264" t="str">
            <v>CASE TRLR METAL DECK</v>
          </cell>
          <cell r="M264" t="str">
            <v>PR460</v>
          </cell>
          <cell r="N264" t="str">
            <v>PR460</v>
          </cell>
          <cell r="P264" t="str">
            <v>n/a</v>
          </cell>
        </row>
        <row r="265">
          <cell r="A265">
            <v>308</v>
          </cell>
          <cell r="B265" t="str">
            <v>1DS0000A7X17S0145</v>
          </cell>
          <cell r="C265" t="str">
            <v>N838DU</v>
          </cell>
          <cell r="D265">
            <v>1999</v>
          </cell>
          <cell r="E265" t="str">
            <v>Ditch Witch</v>
          </cell>
          <cell r="H265" t="e">
            <v>#N/A</v>
          </cell>
          <cell r="K265" t="str">
            <v>Trailer</v>
          </cell>
          <cell r="L265" t="str">
            <v>DW WALK BEHIND</v>
          </cell>
          <cell r="M265" t="str">
            <v>OP460</v>
          </cell>
          <cell r="N265" t="str">
            <v>PR460</v>
          </cell>
          <cell r="P265" t="str">
            <v>n/a</v>
          </cell>
        </row>
        <row r="266">
          <cell r="A266">
            <v>310</v>
          </cell>
          <cell r="B266" t="str">
            <v>1E9AL12131L252459</v>
          </cell>
          <cell r="C266" t="str">
            <v>E044ZI</v>
          </cell>
          <cell r="D266">
            <v>2001</v>
          </cell>
          <cell r="E266" t="str">
            <v>Emerson</v>
          </cell>
          <cell r="H266" t="e">
            <v>#N/A</v>
          </cell>
          <cell r="K266" t="str">
            <v>Trailer</v>
          </cell>
          <cell r="L266" t="str">
            <v>WELDER TRLR</v>
          </cell>
          <cell r="M266" t="str">
            <v>PR460</v>
          </cell>
          <cell r="N266" t="str">
            <v>PR460</v>
          </cell>
          <cell r="P266" t="str">
            <v>n/a</v>
          </cell>
        </row>
        <row r="267">
          <cell r="A267">
            <v>311</v>
          </cell>
          <cell r="B267" t="str">
            <v>1E9AL16252L252029</v>
          </cell>
          <cell r="C267" t="str">
            <v>K673DY</v>
          </cell>
          <cell r="D267">
            <v>2002</v>
          </cell>
          <cell r="E267" t="str">
            <v>Emerson</v>
          </cell>
          <cell r="H267" t="e">
            <v>#N/A</v>
          </cell>
          <cell r="K267" t="str">
            <v>Trailer</v>
          </cell>
          <cell r="L267" t="str">
            <v>CONSERVATION TRLR</v>
          </cell>
          <cell r="M267" t="str">
            <v>PR460</v>
          </cell>
          <cell r="N267" t="str">
            <v>PR460</v>
          </cell>
          <cell r="P267" t="str">
            <v>n/a</v>
          </cell>
        </row>
        <row r="269">
          <cell r="A269">
            <v>825</v>
          </cell>
          <cell r="C269" t="str">
            <v>pending</v>
          </cell>
          <cell r="D269">
            <v>2012</v>
          </cell>
          <cell r="E269" t="str">
            <v>Freightliner</v>
          </cell>
          <cell r="H269" t="e">
            <v>#N/A</v>
          </cell>
          <cell r="K269" t="str">
            <v>Bucket</v>
          </cell>
          <cell r="M269" t="str">
            <v>Bucket Truck</v>
          </cell>
          <cell r="N269" t="str">
            <v>EL451</v>
          </cell>
          <cell r="O269" t="str">
            <v>Al Harris</v>
          </cell>
          <cell r="P269" t="str">
            <v>No</v>
          </cell>
        </row>
        <row r="270">
          <cell r="A270">
            <v>346</v>
          </cell>
          <cell r="B270" t="str">
            <v>4T1BF1FK5CU523819</v>
          </cell>
          <cell r="C270" t="str">
            <v>U159UE</v>
          </cell>
          <cell r="D270">
            <v>2012</v>
          </cell>
          <cell r="E270" t="str">
            <v>Toyota</v>
          </cell>
          <cell r="F270" t="str">
            <v>Camry</v>
          </cell>
          <cell r="G270">
            <v>4630</v>
          </cell>
          <cell r="H270" t="str">
            <v>MK410</v>
          </cell>
          <cell r="I270">
            <v>40875</v>
          </cell>
          <cell r="J270">
            <v>24304.400000000001</v>
          </cell>
          <cell r="K270" t="str">
            <v>Sedan</v>
          </cell>
          <cell r="L270" t="str">
            <v>I4-G</v>
          </cell>
          <cell r="M270" t="str">
            <v>Sales Mgr / Office</v>
          </cell>
          <cell r="N270" t="str">
            <v>MK410</v>
          </cell>
          <cell r="O270" t="str">
            <v>Ben Semchuck</v>
          </cell>
          <cell r="P270" t="str">
            <v>YES</v>
          </cell>
        </row>
        <row r="271">
          <cell r="A271">
            <v>331</v>
          </cell>
          <cell r="B271" t="str">
            <v>3GCEC23019G132374</v>
          </cell>
          <cell r="C271" t="str">
            <v>N779EF</v>
          </cell>
          <cell r="D271">
            <v>2009</v>
          </cell>
          <cell r="E271" t="str">
            <v>Chevrolet</v>
          </cell>
          <cell r="F271" t="str">
            <v>Silverado</v>
          </cell>
          <cell r="G271">
            <v>7000</v>
          </cell>
          <cell r="H271" t="str">
            <v>PS300</v>
          </cell>
          <cell r="K271" t="str">
            <v>Pickup</v>
          </cell>
          <cell r="L271" t="str">
            <v>Skip Jack</v>
          </cell>
          <cell r="M271" t="str">
            <v>PESCO GM / Office</v>
          </cell>
          <cell r="N271" t="str">
            <v>PS300</v>
          </cell>
          <cell r="O271" t="str">
            <v>Bill Hancock</v>
          </cell>
          <cell r="P271" t="str">
            <v>YES</v>
          </cell>
        </row>
        <row r="272">
          <cell r="A272">
            <v>633</v>
          </cell>
          <cell r="B272" t="str">
            <v>1FTFW1ET6BFC66320</v>
          </cell>
          <cell r="C272" t="str">
            <v>K414CK</v>
          </cell>
          <cell r="D272">
            <v>2011</v>
          </cell>
          <cell r="E272" t="str">
            <v>Ford</v>
          </cell>
          <cell r="F272" t="str">
            <v>F-150</v>
          </cell>
          <cell r="H272" t="str">
            <v>NG410</v>
          </cell>
          <cell r="I272">
            <v>40830</v>
          </cell>
          <cell r="J272">
            <v>34816.339999999997</v>
          </cell>
          <cell r="K272" t="str">
            <v>Pickup</v>
          </cell>
          <cell r="L272" t="str">
            <v>Skip Jack</v>
          </cell>
          <cell r="M272" t="str">
            <v>Corporate Engineer</v>
          </cell>
          <cell r="N272" t="str">
            <v>EN401</v>
          </cell>
          <cell r="O272" t="str">
            <v>Calvin Favors</v>
          </cell>
          <cell r="P272" t="str">
            <v>YES</v>
          </cell>
        </row>
        <row r="273">
          <cell r="A273">
            <v>810</v>
          </cell>
          <cell r="B273" t="str">
            <v>1HTMMAAN4BH287727</v>
          </cell>
          <cell r="C273" t="str">
            <v>GBP661</v>
          </cell>
          <cell r="D273">
            <v>2011</v>
          </cell>
          <cell r="E273" t="str">
            <v>International</v>
          </cell>
          <cell r="F273">
            <v>4300</v>
          </cell>
          <cell r="G273">
            <v>33000</v>
          </cell>
          <cell r="H273" t="str">
            <v>EL451</v>
          </cell>
          <cell r="I273">
            <v>40389</v>
          </cell>
          <cell r="J273">
            <v>186943.54</v>
          </cell>
          <cell r="K273" t="str">
            <v>Bucket</v>
          </cell>
          <cell r="L273" t="str">
            <v>TA60</v>
          </cell>
          <cell r="M273" t="str">
            <v>Bucket Truck</v>
          </cell>
          <cell r="N273" t="str">
            <v> EL451</v>
          </cell>
          <cell r="O273" t="str">
            <v>Clint Brown</v>
          </cell>
          <cell r="P273" t="str">
            <v>No</v>
          </cell>
        </row>
        <row r="274">
          <cell r="A274">
            <v>320</v>
          </cell>
          <cell r="B274" t="str">
            <v>1GBJC34U87E166794</v>
          </cell>
          <cell r="C274" t="str">
            <v>M431HU</v>
          </cell>
          <cell r="D274">
            <v>2007</v>
          </cell>
          <cell r="E274" t="str">
            <v>Chevrolet</v>
          </cell>
          <cell r="F274">
            <v>3500</v>
          </cell>
          <cell r="G274">
            <v>11400</v>
          </cell>
          <cell r="H274" t="str">
            <v>OP460</v>
          </cell>
          <cell r="K274" t="str">
            <v>Utility</v>
          </cell>
          <cell r="L274" t="str">
            <v>V8-G</v>
          </cell>
          <cell r="M274" t="str">
            <v>Ops Tech II / Ops</v>
          </cell>
          <cell r="N274" t="str">
            <v>PR460</v>
          </cell>
          <cell r="O274" t="str">
            <v>Constantino Hernandez</v>
          </cell>
          <cell r="P274" t="str">
            <v>YES</v>
          </cell>
        </row>
        <row r="275">
          <cell r="A275">
            <v>319</v>
          </cell>
          <cell r="B275" t="str">
            <v>1GBJC34U67E167913</v>
          </cell>
          <cell r="C275" t="str">
            <v>T333QG</v>
          </cell>
          <cell r="D275">
            <v>2007</v>
          </cell>
          <cell r="E275" t="str">
            <v>Chevrolet</v>
          </cell>
          <cell r="F275">
            <v>3500</v>
          </cell>
          <cell r="G275">
            <v>11400</v>
          </cell>
          <cell r="H275" t="str">
            <v>OP460</v>
          </cell>
          <cell r="K275" t="str">
            <v>Utility</v>
          </cell>
          <cell r="L275" t="str">
            <v>V8-G</v>
          </cell>
          <cell r="M275" t="str">
            <v>Ops Tech II / Ops</v>
          </cell>
          <cell r="N275" t="str">
            <v>PR460</v>
          </cell>
          <cell r="O275" t="str">
            <v>Corey Gebhardt</v>
          </cell>
          <cell r="P275" t="str">
            <v>YES</v>
          </cell>
        </row>
        <row r="276">
          <cell r="A276">
            <v>620</v>
          </cell>
          <cell r="B276" t="str">
            <v>JTDKN3DU8A0190737</v>
          </cell>
          <cell r="C276" t="str">
            <v>X255HD</v>
          </cell>
          <cell r="D276">
            <v>2010</v>
          </cell>
          <cell r="E276" t="str">
            <v>Toyota</v>
          </cell>
          <cell r="F276" t="str">
            <v>Prius</v>
          </cell>
          <cell r="H276" t="str">
            <v>MK412</v>
          </cell>
          <cell r="I276">
            <v>40401</v>
          </cell>
          <cell r="J276" t="str">
            <v>LEASE</v>
          </cell>
          <cell r="K276" t="str">
            <v>Sedan</v>
          </cell>
          <cell r="L276" t="str">
            <v>Lease</v>
          </cell>
          <cell r="M276" t="str">
            <v>SF Conservation Rep</v>
          </cell>
          <cell r="N276" t="str">
            <v>MK412</v>
          </cell>
          <cell r="O276" t="str">
            <v>Danielle Boone</v>
          </cell>
          <cell r="P276" t="str">
            <v>YES</v>
          </cell>
        </row>
        <row r="277">
          <cell r="A277">
            <v>218</v>
          </cell>
          <cell r="B277" t="str">
            <v>1FTFX1ET0BFC21015</v>
          </cell>
          <cell r="C277" t="str">
            <v>D177II</v>
          </cell>
          <cell r="D277">
            <v>2011</v>
          </cell>
          <cell r="E277" t="str">
            <v>Ford</v>
          </cell>
          <cell r="F277" t="str">
            <v>F-150</v>
          </cell>
          <cell r="H277" t="str">
            <v>MS410</v>
          </cell>
          <cell r="I277">
            <v>40764</v>
          </cell>
          <cell r="J277">
            <v>32147.42</v>
          </cell>
          <cell r="K277" t="str">
            <v>Pickup</v>
          </cell>
          <cell r="L277" t="str">
            <v>3.5L V6-G EcoBoost, Ext. Cab, 4WD</v>
          </cell>
          <cell r="M277" t="str">
            <v>Measurement Mgr</v>
          </cell>
          <cell r="N277" t="str">
            <v>MS410</v>
          </cell>
          <cell r="O277" t="str">
            <v>Don Middleton</v>
          </cell>
          <cell r="P277" t="str">
            <v>YES</v>
          </cell>
        </row>
        <row r="278">
          <cell r="A278">
            <v>614</v>
          </cell>
          <cell r="B278" t="str">
            <v>1GDJ5C1908F416817</v>
          </cell>
          <cell r="C278" t="str">
            <v>GBC879</v>
          </cell>
          <cell r="D278">
            <v>2009</v>
          </cell>
          <cell r="E278" t="str">
            <v>GMC</v>
          </cell>
          <cell r="F278">
            <v>5500</v>
          </cell>
          <cell r="G278">
            <v>26000</v>
          </cell>
          <cell r="H278" t="str">
            <v>PR410</v>
          </cell>
          <cell r="I278">
            <v>40098</v>
          </cell>
          <cell r="K278" t="str">
            <v>Dump Trk</v>
          </cell>
          <cell r="L278" t="str">
            <v>V8-D, Flo-Gas</v>
          </cell>
          <cell r="M278" t="str">
            <v>Flo-Gas</v>
          </cell>
          <cell r="N278" t="str">
            <v>PR410</v>
          </cell>
          <cell r="O278" t="str">
            <v>Flo-Gas</v>
          </cell>
          <cell r="P278" t="str">
            <v>No</v>
          </cell>
        </row>
        <row r="279">
          <cell r="A279">
            <v>225</v>
          </cell>
          <cell r="B279" t="str">
            <v>1GCRCPE01CZ244109</v>
          </cell>
          <cell r="C279" t="str">
            <v>GBC940</v>
          </cell>
          <cell r="D279">
            <v>2012</v>
          </cell>
          <cell r="E279" t="str">
            <v>Chevrolet</v>
          </cell>
          <cell r="F279" t="str">
            <v>Silverado</v>
          </cell>
          <cell r="H279" t="str">
            <v>IM430</v>
          </cell>
          <cell r="I279">
            <v>41012</v>
          </cell>
          <cell r="J279">
            <v>32790.47</v>
          </cell>
          <cell r="K279" t="str">
            <v>Pickup</v>
          </cell>
          <cell r="L279" t="str">
            <v>5.3L V8-G, Ext. Cab</v>
          </cell>
          <cell r="M279" t="str">
            <v>I&amp;M Supv</v>
          </cell>
          <cell r="N279" t="str">
            <v>IM430</v>
          </cell>
          <cell r="O279" t="str">
            <v>Fred Bland</v>
          </cell>
          <cell r="P279" t="str">
            <v>YES</v>
          </cell>
        </row>
        <row r="280">
          <cell r="A280">
            <v>542</v>
          </cell>
          <cell r="B280" t="str">
            <v>1GTCS198848183628</v>
          </cell>
          <cell r="C280" t="str">
            <v>GBP943</v>
          </cell>
          <cell r="D280">
            <v>2004</v>
          </cell>
          <cell r="E280" t="str">
            <v>GMC</v>
          </cell>
          <cell r="F280" t="str">
            <v>Canyon</v>
          </cell>
          <cell r="H280" t="str">
            <v>SV411</v>
          </cell>
          <cell r="I280">
            <v>38170</v>
          </cell>
          <cell r="J280">
            <v>15174.74</v>
          </cell>
          <cell r="K280" t="str">
            <v>Comp. P/U</v>
          </cell>
          <cell r="L280" t="str">
            <v>Ext. Cab, Permitting</v>
          </cell>
          <cell r="M280" t="str">
            <v>Field Coordinator</v>
          </cell>
          <cell r="N280" t="str">
            <v>SV411</v>
          </cell>
          <cell r="O280" t="str">
            <v>Gene Camacho</v>
          </cell>
          <cell r="P280" t="str">
            <v>No</v>
          </cell>
        </row>
        <row r="281">
          <cell r="A281">
            <v>635</v>
          </cell>
          <cell r="B281" t="str">
            <v>1FMHK7F81CGA50674</v>
          </cell>
          <cell r="C281" t="str">
            <v>F258FT</v>
          </cell>
          <cell r="D281">
            <v>2012</v>
          </cell>
          <cell r="E281" t="str">
            <v>Ford</v>
          </cell>
          <cell r="F281" t="str">
            <v>Explorer</v>
          </cell>
          <cell r="H281" t="str">
            <v>MG713</v>
          </cell>
          <cell r="I281">
            <v>40927</v>
          </cell>
          <cell r="J281">
            <v>40983.03</v>
          </cell>
          <cell r="K281" t="str">
            <v>SUV</v>
          </cell>
          <cell r="L281" t="str">
            <v>Skip Jack</v>
          </cell>
          <cell r="M281" t="str">
            <v>President</v>
          </cell>
          <cell r="N281" t="str">
            <v>MG713</v>
          </cell>
          <cell r="O281" t="str">
            <v>Jeff Householder</v>
          </cell>
          <cell r="P281" t="str">
            <v>YES</v>
          </cell>
        </row>
        <row r="282">
          <cell r="A282">
            <v>220</v>
          </cell>
          <cell r="B282" t="str">
            <v>1FDUF5GT2CEA58269</v>
          </cell>
          <cell r="C282" t="str">
            <v>GBF940</v>
          </cell>
          <cell r="D282">
            <v>2012</v>
          </cell>
          <cell r="E282" t="str">
            <v>Ford</v>
          </cell>
          <cell r="F282" t="str">
            <v>F-550</v>
          </cell>
          <cell r="G282">
            <v>19500</v>
          </cell>
          <cell r="H282" t="str">
            <v>IM430</v>
          </cell>
          <cell r="I282">
            <v>40885</v>
          </cell>
          <cell r="J282">
            <v>80172</v>
          </cell>
          <cell r="K282" t="str">
            <v>Utility</v>
          </cell>
          <cell r="L282" t="str">
            <v>6.7L V8-D, Std. Cab / Utility, 5005EH Crane</v>
          </cell>
          <cell r="M282" t="str">
            <v>I&amp;M</v>
          </cell>
          <cell r="N282" t="str">
            <v>IM430</v>
          </cell>
          <cell r="O282" t="str">
            <v>Jim Ingalls</v>
          </cell>
          <cell r="P282" t="str">
            <v>No</v>
          </cell>
        </row>
        <row r="283">
          <cell r="A283">
            <v>217</v>
          </cell>
          <cell r="B283" t="str">
            <v>3GCPCPE00BG356745</v>
          </cell>
          <cell r="C283" t="str">
            <v>286YAT</v>
          </cell>
          <cell r="D283">
            <v>2011</v>
          </cell>
          <cell r="E283" t="str">
            <v>Chevrolet</v>
          </cell>
          <cell r="F283" t="str">
            <v>Silverado</v>
          </cell>
          <cell r="H283" t="str">
            <v>NG430</v>
          </cell>
          <cell r="I283">
            <v>40737</v>
          </cell>
          <cell r="J283">
            <v>33184.400000000001</v>
          </cell>
          <cell r="K283" t="str">
            <v>Pickup</v>
          </cell>
          <cell r="L283" t="str">
            <v>5.3L V8-G, Crew Cab</v>
          </cell>
          <cell r="M283" t="str">
            <v>Ops Mgr</v>
          </cell>
          <cell r="N283" t="str">
            <v>NG430</v>
          </cell>
          <cell r="O283" t="str">
            <v>Johnny Hill</v>
          </cell>
          <cell r="P283" t="str">
            <v>YES</v>
          </cell>
        </row>
        <row r="284">
          <cell r="A284">
            <v>628</v>
          </cell>
          <cell r="B284" t="str">
            <v>1GND5335392100306</v>
          </cell>
          <cell r="C284" t="str">
            <v>769VNB</v>
          </cell>
          <cell r="D284">
            <v>2009</v>
          </cell>
          <cell r="E284" t="str">
            <v>Chevrolet</v>
          </cell>
          <cell r="F284" t="str">
            <v>TrailBlazer</v>
          </cell>
          <cell r="G284">
            <v>5500</v>
          </cell>
          <cell r="H284" t="str">
            <v>NO</v>
          </cell>
          <cell r="I284">
            <v>40575</v>
          </cell>
          <cell r="K284" t="str">
            <v>SUV</v>
          </cell>
          <cell r="L284" t="str">
            <v>V6-G</v>
          </cell>
          <cell r="M284" t="str">
            <v>HR Generalist</v>
          </cell>
          <cell r="N284" t="str">
            <v>HR940</v>
          </cell>
          <cell r="O284" t="str">
            <v>Julie St. Clair</v>
          </cell>
          <cell r="P284" t="str">
            <v>YES</v>
          </cell>
        </row>
        <row r="285">
          <cell r="A285">
            <v>561</v>
          </cell>
          <cell r="B285" t="str">
            <v>1GTEC19Z96Z211979</v>
          </cell>
          <cell r="C285" t="str">
            <v>GBC926</v>
          </cell>
          <cell r="D285">
            <v>2006</v>
          </cell>
          <cell r="E285" t="str">
            <v>GMC</v>
          </cell>
          <cell r="F285" t="str">
            <v>Sierra</v>
          </cell>
          <cell r="G285">
            <v>6200</v>
          </cell>
          <cell r="H285" t="str">
            <v>IM410</v>
          </cell>
          <cell r="I285">
            <v>38740</v>
          </cell>
          <cell r="J285">
            <v>21468.05</v>
          </cell>
          <cell r="K285" t="str">
            <v>Pickup</v>
          </cell>
          <cell r="L285" t="str">
            <v>5.3L V8-G, Ext. Cab</v>
          </cell>
          <cell r="M285" t="str">
            <v>I&amp;M Inspector</v>
          </cell>
          <cell r="N285" t="str">
            <v>IM410</v>
          </cell>
          <cell r="O285" t="str">
            <v>Karl Forde</v>
          </cell>
          <cell r="P285" t="str">
            <v>No</v>
          </cell>
        </row>
        <row r="286">
          <cell r="A286">
            <v>345</v>
          </cell>
          <cell r="B286" t="str">
            <v>1FTKR4EE0BPA78153</v>
          </cell>
          <cell r="C286" t="str">
            <v>GBC962</v>
          </cell>
          <cell r="D286">
            <v>2011</v>
          </cell>
          <cell r="E286" t="str">
            <v>Ford</v>
          </cell>
          <cell r="F286" t="str">
            <v>Ranger</v>
          </cell>
          <cell r="H286" t="str">
            <v>OP460</v>
          </cell>
          <cell r="I286">
            <v>40764</v>
          </cell>
          <cell r="J286">
            <v>21095.75</v>
          </cell>
          <cell r="K286" t="str">
            <v>Comp. P/U</v>
          </cell>
          <cell r="L286" t="str">
            <v>4.0l V6-G, Ext. Cab</v>
          </cell>
          <cell r="M286" t="str">
            <v>Eng Tech / Ops</v>
          </cell>
          <cell r="N286" t="str">
            <v>PR460</v>
          </cell>
          <cell r="O286" t="str">
            <v>Kellie Norris</v>
          </cell>
          <cell r="P286" t="str">
            <v>YES</v>
          </cell>
        </row>
        <row r="287">
          <cell r="A287">
            <v>224</v>
          </cell>
          <cell r="B287" t="str">
            <v>3FAHP0HA4BR345648</v>
          </cell>
          <cell r="C287" t="str">
            <v>W397YD</v>
          </cell>
          <cell r="D287">
            <v>2011</v>
          </cell>
          <cell r="E287" t="str">
            <v>Ford</v>
          </cell>
          <cell r="F287" t="str">
            <v>Fusion</v>
          </cell>
          <cell r="G287">
            <v>4473</v>
          </cell>
          <cell r="H287" t="str">
            <v>MK412</v>
          </cell>
          <cell r="I287">
            <v>40953</v>
          </cell>
          <cell r="K287" t="str">
            <v>Sedan</v>
          </cell>
          <cell r="L287" t="str">
            <v>CNG Bi-Fuel</v>
          </cell>
          <cell r="M287" t="str">
            <v>Conservation Mgr</v>
          </cell>
          <cell r="N287" t="str">
            <v>MK412</v>
          </cell>
          <cell r="O287" t="str">
            <v>Kira Lake</v>
          </cell>
          <cell r="P287" t="str">
            <v>YES</v>
          </cell>
        </row>
        <row r="288">
          <cell r="A288">
            <v>215</v>
          </cell>
          <cell r="B288" t="str">
            <v>JTDKB20U997856922</v>
          </cell>
          <cell r="C288" t="str">
            <v>GDE199</v>
          </cell>
          <cell r="D288">
            <v>2009</v>
          </cell>
          <cell r="E288" t="str">
            <v>Toyota</v>
          </cell>
          <cell r="F288" t="str">
            <v>Prius</v>
          </cell>
          <cell r="H288" t="str">
            <v>NO</v>
          </cell>
          <cell r="J288" t="str">
            <v>LEASE</v>
          </cell>
          <cell r="K288" t="str">
            <v>Sedan</v>
          </cell>
          <cell r="L288" t="str">
            <v>Lease, old NW 981</v>
          </cell>
          <cell r="M288" t="str">
            <v>Conservation Rep</v>
          </cell>
          <cell r="N288" t="str">
            <v>MK412</v>
          </cell>
          <cell r="O288" t="str">
            <v>Kira Lake</v>
          </cell>
          <cell r="P288" t="str">
            <v>No</v>
          </cell>
        </row>
        <row r="289">
          <cell r="A289">
            <v>342</v>
          </cell>
          <cell r="B289" t="str">
            <v>1GTR2TE35BZ407512</v>
          </cell>
          <cell r="C289" t="str">
            <v>GBC882</v>
          </cell>
          <cell r="D289">
            <v>2011</v>
          </cell>
          <cell r="E289" t="str">
            <v>GMC</v>
          </cell>
          <cell r="F289" t="str">
            <v>Sierra</v>
          </cell>
          <cell r="G289">
            <v>7000</v>
          </cell>
          <cell r="H289" t="str">
            <v>EN401</v>
          </cell>
          <cell r="I289">
            <v>40729</v>
          </cell>
          <cell r="J289">
            <v>31673.49</v>
          </cell>
          <cell r="K289" t="str">
            <v>Pickup</v>
          </cell>
          <cell r="L289" t="str">
            <v>5.3L V8-G, Ext Cab, 4WD</v>
          </cell>
          <cell r="M289" t="str">
            <v>Project Supv / Ops</v>
          </cell>
          <cell r="N289" t="str">
            <v>PR460</v>
          </cell>
          <cell r="O289" t="str">
            <v>Matt Henderson</v>
          </cell>
          <cell r="P289" t="str">
            <v>YES</v>
          </cell>
        </row>
        <row r="290">
          <cell r="A290">
            <v>539</v>
          </cell>
          <cell r="B290" t="str">
            <v>1GTEC19T14Z332188</v>
          </cell>
          <cell r="C290" t="str">
            <v>GBP938</v>
          </cell>
          <cell r="D290">
            <v>2004</v>
          </cell>
          <cell r="E290" t="str">
            <v>GMC</v>
          </cell>
          <cell r="F290">
            <v>1500</v>
          </cell>
          <cell r="G290">
            <v>6200</v>
          </cell>
          <cell r="H290" t="str">
            <v>IM410</v>
          </cell>
          <cell r="I290">
            <v>38169</v>
          </cell>
          <cell r="J290">
            <v>19031.080000000002</v>
          </cell>
          <cell r="K290" t="str">
            <v>Pickup</v>
          </cell>
          <cell r="L290" t="str">
            <v>5.3L V8-G, Ext. Cab</v>
          </cell>
          <cell r="M290" t="str">
            <v>I&amp;M Inspector</v>
          </cell>
          <cell r="N290" t="str">
            <v>IM410</v>
          </cell>
          <cell r="O290" t="str">
            <v>Matt Ryan</v>
          </cell>
          <cell r="P290" t="str">
            <v>YES</v>
          </cell>
        </row>
        <row r="291">
          <cell r="A291">
            <v>219</v>
          </cell>
          <cell r="B291" t="str">
            <v>1GB2KVCG0BZ406212</v>
          </cell>
          <cell r="C291" t="str">
            <v>GBC972</v>
          </cell>
          <cell r="D291">
            <v>2011</v>
          </cell>
          <cell r="E291" t="str">
            <v>Chevrolet</v>
          </cell>
          <cell r="F291">
            <v>2500</v>
          </cell>
          <cell r="H291" t="str">
            <v>SY430</v>
          </cell>
          <cell r="I291">
            <v>40766</v>
          </cell>
          <cell r="J291">
            <v>42415.519999999997</v>
          </cell>
          <cell r="K291" t="str">
            <v>Utility</v>
          </cell>
          <cell r="L291" t="str">
            <v>6.0L V8-G, Ext. Cab / Utility</v>
          </cell>
          <cell r="M291" t="str">
            <v>Sys Ops</v>
          </cell>
          <cell r="N291" t="str">
            <v>SY430</v>
          </cell>
          <cell r="O291" t="str">
            <v>Mike Lackey</v>
          </cell>
          <cell r="P291" t="str">
            <v>No</v>
          </cell>
        </row>
        <row r="292">
          <cell r="A292">
            <v>617</v>
          </cell>
          <cell r="B292" t="str">
            <v>1FTRX17W13NA43238</v>
          </cell>
          <cell r="C292" t="str">
            <v>W400YD</v>
          </cell>
          <cell r="D292">
            <v>2003</v>
          </cell>
          <cell r="E292" t="str">
            <v>Ford</v>
          </cell>
          <cell r="F292" t="str">
            <v>F150</v>
          </cell>
          <cell r="G292">
            <v>6050</v>
          </cell>
          <cell r="H292" t="str">
            <v>SV411</v>
          </cell>
          <cell r="I292">
            <v>37956</v>
          </cell>
          <cell r="J292">
            <v>21998.73</v>
          </cell>
          <cell r="K292" t="str">
            <v>Pickup Truck</v>
          </cell>
          <cell r="L292" t="str">
            <v>Old WF 101, tonneau lid added 10/30/07 ($908.43)</v>
          </cell>
          <cell r="M292" t="str">
            <v>Service</v>
          </cell>
          <cell r="N292" t="str">
            <v>SV411</v>
          </cell>
          <cell r="O292" t="str">
            <v>Norman Anderson</v>
          </cell>
          <cell r="P292" t="str">
            <v>YES</v>
          </cell>
        </row>
        <row r="293">
          <cell r="A293">
            <v>816</v>
          </cell>
          <cell r="B293" t="str">
            <v>1G4HD57267U132173</v>
          </cell>
          <cell r="C293" t="str">
            <v>B923US</v>
          </cell>
          <cell r="D293">
            <v>2007</v>
          </cell>
          <cell r="E293" t="str">
            <v>Buick</v>
          </cell>
          <cell r="F293" t="str">
            <v>Lucerne</v>
          </cell>
          <cell r="G293">
            <v>4768</v>
          </cell>
          <cell r="H293" t="str">
            <v>CS411</v>
          </cell>
          <cell r="K293" t="str">
            <v>Sedan</v>
          </cell>
          <cell r="L293" t="str">
            <v>Transferred from CFG, was SF #621 til Dec-10</v>
          </cell>
          <cell r="M293" t="str">
            <v>Customer Service</v>
          </cell>
          <cell r="N293" t="str">
            <v>CS411</v>
          </cell>
          <cell r="O293" t="str">
            <v>Roger LaCharite</v>
          </cell>
          <cell r="P293" t="str">
            <v>YES</v>
          </cell>
        </row>
        <row r="294">
          <cell r="A294">
            <v>537</v>
          </cell>
          <cell r="B294" t="str">
            <v>1GTEC19T94Z312349</v>
          </cell>
          <cell r="C294" t="str">
            <v>H799KK</v>
          </cell>
          <cell r="D294">
            <v>2004</v>
          </cell>
          <cell r="E294" t="str">
            <v>GMC</v>
          </cell>
          <cell r="F294">
            <v>1500</v>
          </cell>
          <cell r="G294">
            <v>6200</v>
          </cell>
          <cell r="H294" t="str">
            <v>SM711</v>
          </cell>
          <cell r="I294">
            <v>38155</v>
          </cell>
          <cell r="J294">
            <v>18519.310000000001</v>
          </cell>
          <cell r="K294" t="str">
            <v>Pickup</v>
          </cell>
          <cell r="L294" t="str">
            <v>5.3L V8-G, Ext. Cab</v>
          </cell>
          <cell r="M294" t="str">
            <v>Safety Coordinator</v>
          </cell>
          <cell r="N294" t="str">
            <v>SM711</v>
          </cell>
          <cell r="O294" t="str">
            <v>Skip Flynn</v>
          </cell>
          <cell r="P294" t="str">
            <v>YES</v>
          </cell>
        </row>
        <row r="295">
          <cell r="A295">
            <v>770</v>
          </cell>
          <cell r="B295" t="str">
            <v>1FDJF37H7VEB76646</v>
          </cell>
          <cell r="C295" t="str">
            <v>GBC976</v>
          </cell>
          <cell r="D295">
            <v>1997</v>
          </cell>
          <cell r="E295" t="str">
            <v>Ford</v>
          </cell>
          <cell r="F295" t="str">
            <v>F-350</v>
          </cell>
          <cell r="G295">
            <v>10000</v>
          </cell>
          <cell r="H295" t="str">
            <v>NO</v>
          </cell>
          <cell r="I295">
            <v>36708</v>
          </cell>
          <cell r="J295">
            <v>16100</v>
          </cell>
          <cell r="K295" t="str">
            <v>Service</v>
          </cell>
          <cell r="L295" t="str">
            <v>Not listed on any rec or in access</v>
          </cell>
          <cell r="M295" t="str">
            <v>Spare Utility</v>
          </cell>
          <cell r="N295" t="str">
            <v> WH450</v>
          </cell>
          <cell r="O295" t="str">
            <v>Spare</v>
          </cell>
          <cell r="P295" t="str">
            <v>No</v>
          </cell>
        </row>
        <row r="296">
          <cell r="A296">
            <v>809</v>
          </cell>
          <cell r="B296" t="str">
            <v>1FTZF1724XNB99392</v>
          </cell>
          <cell r="C296" t="str">
            <v>GBC883</v>
          </cell>
          <cell r="D296">
            <v>1999</v>
          </cell>
          <cell r="E296" t="str">
            <v>Ford</v>
          </cell>
          <cell r="F296" t="str">
            <v>F-150</v>
          </cell>
          <cell r="G296">
            <v>6000</v>
          </cell>
          <cell r="H296" t="str">
            <v>NO</v>
          </cell>
          <cell r="I296">
            <v>36434</v>
          </cell>
          <cell r="J296">
            <v>16283.19</v>
          </cell>
          <cell r="K296" t="str">
            <v>Pickup</v>
          </cell>
          <cell r="L296" t="str">
            <v>4.2L V6-G, Std. Cab, Old SF 474</v>
          </cell>
          <cell r="M296" t="str">
            <v>Collector</v>
          </cell>
          <cell r="N296" t="str">
            <v>CS452</v>
          </cell>
          <cell r="O296" t="str">
            <v>Spare</v>
          </cell>
          <cell r="P296" t="str">
            <v>No</v>
          </cell>
        </row>
        <row r="297">
          <cell r="A297">
            <v>330</v>
          </cell>
          <cell r="B297" t="str">
            <v>1GCEK19C08Z141306</v>
          </cell>
          <cell r="C297" t="str">
            <v>630JUT</v>
          </cell>
          <cell r="D297">
            <v>2008</v>
          </cell>
          <cell r="E297" t="str">
            <v>Chevrolet</v>
          </cell>
          <cell r="F297" t="str">
            <v>Silverado</v>
          </cell>
          <cell r="G297">
            <v>7000</v>
          </cell>
          <cell r="H297" t="str">
            <v>OP460</v>
          </cell>
          <cell r="K297" t="str">
            <v>Pickup</v>
          </cell>
          <cell r="L297" t="str">
            <v>V8-G, 4WD</v>
          </cell>
          <cell r="M297" t="str">
            <v>Project Supv / Ops</v>
          </cell>
          <cell r="N297" t="str">
            <v>PR460</v>
          </cell>
          <cell r="O297" t="str">
            <v>Spare</v>
          </cell>
          <cell r="P297" t="str">
            <v>No</v>
          </cell>
        </row>
        <row r="298">
          <cell r="A298">
            <v>158</v>
          </cell>
          <cell r="B298" t="str">
            <v>1GTGG29VX41213641</v>
          </cell>
          <cell r="C298" t="str">
            <v>GBP936</v>
          </cell>
          <cell r="D298">
            <v>2004</v>
          </cell>
          <cell r="E298" t="str">
            <v>GMC</v>
          </cell>
          <cell r="F298">
            <v>2500</v>
          </cell>
          <cell r="G298">
            <v>8600</v>
          </cell>
          <cell r="H298" t="str">
            <v>SV430</v>
          </cell>
          <cell r="I298">
            <v>38353</v>
          </cell>
          <cell r="J298">
            <v>20391.05</v>
          </cell>
          <cell r="K298" t="str">
            <v>Van</v>
          </cell>
          <cell r="L298" t="str">
            <v>6.0L V8-G</v>
          </cell>
          <cell r="M298" t="str">
            <v>Service</v>
          </cell>
          <cell r="N298" t="str">
            <v>SV430</v>
          </cell>
          <cell r="O298" t="str">
            <v>Ted Wheaton</v>
          </cell>
          <cell r="P298" t="str">
            <v>No</v>
          </cell>
        </row>
        <row r="299">
          <cell r="A299">
            <v>619</v>
          </cell>
          <cell r="B299" t="str">
            <v>1GBHC24U06E212125</v>
          </cell>
          <cell r="C299" t="str">
            <v>GBG249</v>
          </cell>
          <cell r="D299">
            <v>2006</v>
          </cell>
          <cell r="E299" t="str">
            <v>Chevrolet</v>
          </cell>
          <cell r="F299">
            <v>2500</v>
          </cell>
          <cell r="G299">
            <v>9200</v>
          </cell>
          <cell r="H299" t="str">
            <v>IM410</v>
          </cell>
          <cell r="K299" t="str">
            <v>Utility</v>
          </cell>
          <cell r="L299" t="str">
            <v>Old WF 193, Transferred from CFG</v>
          </cell>
          <cell r="M299" t="str">
            <v>I&amp;M Inspector</v>
          </cell>
          <cell r="N299" t="str">
            <v>IM410</v>
          </cell>
          <cell r="O299" t="str">
            <v>Troy Bullington</v>
          </cell>
          <cell r="P299" t="str">
            <v>No</v>
          </cell>
        </row>
        <row r="300">
          <cell r="A300">
            <v>223</v>
          </cell>
          <cell r="B300" t="str">
            <v>1FDWF36L6YED87031</v>
          </cell>
          <cell r="D300">
            <v>2000</v>
          </cell>
          <cell r="E300" t="str">
            <v>Ford</v>
          </cell>
          <cell r="F300" t="str">
            <v>F350</v>
          </cell>
          <cell r="G300">
            <v>11200</v>
          </cell>
          <cell r="H300" t="str">
            <v>PR460</v>
          </cell>
          <cell r="I300">
            <v>40909</v>
          </cell>
          <cell r="K300" t="str">
            <v>Utility body</v>
          </cell>
          <cell r="L300" t="str">
            <v>Old #125, Retired 5/13/10  Formerly GPB102 tag</v>
          </cell>
          <cell r="M300" t="str">
            <v>Service</v>
          </cell>
          <cell r="N300" t="str">
            <v>OP460</v>
          </cell>
          <cell r="O300" t="str">
            <v>Victor Tamarazzo</v>
          </cell>
          <cell r="P300" t="str">
            <v>No</v>
          </cell>
        </row>
        <row r="301">
          <cell r="A301">
            <v>306</v>
          </cell>
          <cell r="B301" t="str">
            <v>1KX321539W1002929</v>
          </cell>
          <cell r="C301" t="str">
            <v>K838NU</v>
          </cell>
          <cell r="D301">
            <v>1998</v>
          </cell>
          <cell r="E301" t="str">
            <v>Custom</v>
          </cell>
          <cell r="H301" t="e">
            <v>#N/A</v>
          </cell>
          <cell r="K301" t="str">
            <v>Trailer</v>
          </cell>
          <cell r="L301" t="str">
            <v>CASE TRLR BLACK</v>
          </cell>
          <cell r="M301" t="str">
            <v>PR460</v>
          </cell>
          <cell r="N301" t="str">
            <v>PR460</v>
          </cell>
          <cell r="O301" t="str">
            <v>trailer</v>
          </cell>
          <cell r="P301" t="str">
            <v>n/a</v>
          </cell>
        </row>
        <row r="302">
          <cell r="A302">
            <v>302</v>
          </cell>
          <cell r="B302" t="str">
            <v>1L9EL1529KG085017</v>
          </cell>
          <cell r="C302" t="str">
            <v>J926AP</v>
          </cell>
          <cell r="D302">
            <v>1989</v>
          </cell>
          <cell r="E302" t="str">
            <v>Brindle</v>
          </cell>
          <cell r="H302" t="e">
            <v>#N/A</v>
          </cell>
          <cell r="K302" t="str">
            <v>Trailer</v>
          </cell>
          <cell r="L302" t="str">
            <v>TANK TRLR</v>
          </cell>
          <cell r="M302" t="str">
            <v>PR460</v>
          </cell>
          <cell r="N302" t="str">
            <v>PR460</v>
          </cell>
          <cell r="O302" t="str">
            <v>trailer</v>
          </cell>
          <cell r="P302" t="str">
            <v>n/a</v>
          </cell>
        </row>
        <row r="303">
          <cell r="A303">
            <v>815</v>
          </cell>
          <cell r="B303" t="str">
            <v>1W4200D1263055996</v>
          </cell>
          <cell r="C303" t="str">
            <v>GBZ807</v>
          </cell>
          <cell r="D303">
            <v>2006</v>
          </cell>
          <cell r="E303" t="str">
            <v>Wells Cargo</v>
          </cell>
          <cell r="F303" t="str">
            <v>RF6101</v>
          </cell>
          <cell r="G303">
            <v>2990</v>
          </cell>
          <cell r="H303" t="str">
            <v>PR431</v>
          </cell>
          <cell r="I303">
            <v>38889</v>
          </cell>
          <cell r="J303">
            <v>3591.1</v>
          </cell>
          <cell r="K303" t="str">
            <v>Trailer</v>
          </cell>
          <cell r="L303" t="str">
            <v>Enclosed - Small Trencher, old SF 584</v>
          </cell>
          <cell r="M303" t="str">
            <v>Equipment Trailer</v>
          </cell>
          <cell r="N303" t="str">
            <v>PR431</v>
          </cell>
          <cell r="O303" t="str">
            <v>trailer</v>
          </cell>
          <cell r="P303" t="str">
            <v>n/a</v>
          </cell>
        </row>
        <row r="304">
          <cell r="A304">
            <v>350</v>
          </cell>
          <cell r="B304" t="str">
            <v>1YB251664H1B11011</v>
          </cell>
          <cell r="C304" t="str">
            <v>GBC870</v>
          </cell>
          <cell r="D304">
            <v>1987</v>
          </cell>
          <cell r="E304" t="str">
            <v>Custom</v>
          </cell>
          <cell r="F304" t="str">
            <v>9T800</v>
          </cell>
          <cell r="G304">
            <v>25500</v>
          </cell>
          <cell r="H304" t="str">
            <v>IM410</v>
          </cell>
          <cell r="I304">
            <v>31778</v>
          </cell>
          <cell r="J304">
            <v>7118.88</v>
          </cell>
          <cell r="K304" t="str">
            <v>Trailer</v>
          </cell>
          <cell r="L304" t="str">
            <v>Ford Backhoe</v>
          </cell>
          <cell r="M304" t="str">
            <v>Equipment Trailer</v>
          </cell>
          <cell r="N304" t="str">
            <v>IM410</v>
          </cell>
          <cell r="O304" t="str">
            <v>trailer</v>
          </cell>
          <cell r="P304" t="str">
            <v>n/a</v>
          </cell>
        </row>
        <row r="305">
          <cell r="A305">
            <v>312</v>
          </cell>
          <cell r="B305" t="str">
            <v>1Z9BU12218J213896</v>
          </cell>
          <cell r="C305" t="str">
            <v>J912KZ</v>
          </cell>
          <cell r="D305">
            <v>2008</v>
          </cell>
          <cell r="E305" t="str">
            <v>Imperial</v>
          </cell>
          <cell r="H305" t="e">
            <v>#N/A</v>
          </cell>
          <cell r="K305" t="str">
            <v>Trailer</v>
          </cell>
          <cell r="L305" t="str">
            <v>AIR COMP TRLR</v>
          </cell>
          <cell r="M305" t="str">
            <v>PR460</v>
          </cell>
          <cell r="N305" t="str">
            <v>PR460</v>
          </cell>
          <cell r="O305" t="str">
            <v>trailer</v>
          </cell>
          <cell r="P305" t="str">
            <v>n/a</v>
          </cell>
        </row>
        <row r="306">
          <cell r="A306">
            <v>408</v>
          </cell>
          <cell r="B306" t="str">
            <v>243969UBE264</v>
          </cell>
          <cell r="C306" t="str">
            <v>GBC891</v>
          </cell>
          <cell r="D306">
            <v>1994</v>
          </cell>
          <cell r="E306" t="str">
            <v>I/R</v>
          </cell>
          <cell r="F306" t="str">
            <v>P160BWJD</v>
          </cell>
          <cell r="G306" t="str">
            <v>wt. 2,690</v>
          </cell>
          <cell r="H306" t="e">
            <v>#N/A</v>
          </cell>
          <cell r="I306">
            <v>34414</v>
          </cell>
          <cell r="K306" t="str">
            <v>Trailer</v>
          </cell>
          <cell r="L306" t="str">
            <v>Air Compressor</v>
          </cell>
          <cell r="M306" t="str">
            <v>Air Compressor</v>
          </cell>
          <cell r="N306" t="str">
            <v>IM410</v>
          </cell>
          <cell r="O306" t="str">
            <v>trailer</v>
          </cell>
          <cell r="P306" t="str">
            <v>n/a</v>
          </cell>
        </row>
        <row r="307">
          <cell r="A307" t="str">
            <v>708A</v>
          </cell>
          <cell r="B307" t="str">
            <v>4RMES1013WF987651</v>
          </cell>
          <cell r="C307" t="str">
            <v>GBP225</v>
          </cell>
          <cell r="D307">
            <v>1998</v>
          </cell>
          <cell r="E307" t="str">
            <v>Cherokee</v>
          </cell>
          <cell r="G307" t="str">
            <v>n/a</v>
          </cell>
          <cell r="H307" t="e">
            <v>#N/A</v>
          </cell>
          <cell r="K307" t="str">
            <v>Trailer</v>
          </cell>
          <cell r="L307" t="str">
            <v>Enclosed</v>
          </cell>
          <cell r="M307" t="str">
            <v>Equipment Trailer</v>
          </cell>
          <cell r="N307" t="str">
            <v> EL452</v>
          </cell>
          <cell r="O307" t="str">
            <v>trailer</v>
          </cell>
          <cell r="P307" t="str">
            <v>n/a</v>
          </cell>
        </row>
        <row r="308">
          <cell r="A308">
            <v>622</v>
          </cell>
          <cell r="B308" t="str">
            <v>4ZECF182161014074</v>
          </cell>
          <cell r="C308" t="str">
            <v>GBC949</v>
          </cell>
          <cell r="D308">
            <v>2006</v>
          </cell>
          <cell r="E308" t="str">
            <v>Load Trail</v>
          </cell>
          <cell r="F308" t="str">
            <v>CH187T</v>
          </cell>
          <cell r="H308" t="e">
            <v>#N/A</v>
          </cell>
          <cell r="K308" t="str">
            <v>Trailer</v>
          </cell>
          <cell r="L308" t="str">
            <v>Car Hauler - Track Hoe, Indiantown Gas</v>
          </cell>
          <cell r="M308" t="str">
            <v>Equipment Trailer</v>
          </cell>
          <cell r="N308" t="str">
            <v>IM410</v>
          </cell>
          <cell r="O308" t="str">
            <v>trailer</v>
          </cell>
          <cell r="P308" t="str">
            <v>n/a</v>
          </cell>
        </row>
        <row r="309">
          <cell r="A309">
            <v>309</v>
          </cell>
          <cell r="B309" t="str">
            <v>5B7321531Y001642</v>
          </cell>
          <cell r="C309" t="str">
            <v>C211TW</v>
          </cell>
          <cell r="D309">
            <v>2000</v>
          </cell>
          <cell r="E309" t="str">
            <v>Custom</v>
          </cell>
          <cell r="H309" t="e">
            <v>#N/A</v>
          </cell>
          <cell r="K309" t="str">
            <v>Trailer</v>
          </cell>
          <cell r="L309" t="str">
            <v>CASE TRLR WOOD DECK</v>
          </cell>
          <cell r="M309" t="str">
            <v>PR460</v>
          </cell>
          <cell r="N309" t="str">
            <v>PR460</v>
          </cell>
          <cell r="O309" t="str">
            <v>trailer</v>
          </cell>
          <cell r="P309" t="str">
            <v>n/a</v>
          </cell>
        </row>
        <row r="310">
          <cell r="A310">
            <v>307</v>
          </cell>
          <cell r="B310" t="str">
            <v>5B7612213X1005067</v>
          </cell>
          <cell r="C310" t="str">
            <v>C210TW</v>
          </cell>
          <cell r="D310">
            <v>1999</v>
          </cell>
          <cell r="E310" t="str">
            <v>Custom</v>
          </cell>
          <cell r="H310" t="e">
            <v>#N/A</v>
          </cell>
          <cell r="K310" t="str">
            <v>Trailer</v>
          </cell>
          <cell r="L310" t="str">
            <v>DW WALK BEHIND</v>
          </cell>
          <cell r="M310" t="str">
            <v>PR460</v>
          </cell>
          <cell r="N310" t="str">
            <v>PR460</v>
          </cell>
          <cell r="O310" t="str">
            <v>trailer</v>
          </cell>
          <cell r="P310" t="str">
            <v>n/a</v>
          </cell>
        </row>
        <row r="311">
          <cell r="A311">
            <v>313</v>
          </cell>
          <cell r="B311" t="str">
            <v>5DYAC20105P000380</v>
          </cell>
          <cell r="D311">
            <v>2005</v>
          </cell>
          <cell r="E311" t="str">
            <v>JLG</v>
          </cell>
          <cell r="H311" t="e">
            <v>#N/A</v>
          </cell>
          <cell r="K311" t="str">
            <v>Trailer</v>
          </cell>
          <cell r="L311" t="str">
            <v>TOWABLE LIFT Does not need a tag)</v>
          </cell>
          <cell r="M311" t="str">
            <v>PR460</v>
          </cell>
          <cell r="N311" t="str">
            <v>PR460</v>
          </cell>
          <cell r="O311" t="str">
            <v>trailer</v>
          </cell>
          <cell r="P311" t="str">
            <v>n/a</v>
          </cell>
        </row>
        <row r="312">
          <cell r="A312">
            <v>439</v>
          </cell>
          <cell r="B312" t="str">
            <v>9508-31276</v>
          </cell>
          <cell r="C312" t="str">
            <v>GBC920</v>
          </cell>
          <cell r="D312">
            <v>1995</v>
          </cell>
          <cell r="E312" t="str">
            <v>Amida</v>
          </cell>
          <cell r="H312" t="e">
            <v>#N/A</v>
          </cell>
          <cell r="I312">
            <v>34960</v>
          </cell>
          <cell r="K312" t="str">
            <v>Arrow Trailer</v>
          </cell>
          <cell r="L312" t="str">
            <v>1-Cyl-D, Equipment</v>
          </cell>
          <cell r="M312" t="str">
            <v>Traffic Arrow Trailer</v>
          </cell>
          <cell r="N312" t="str">
            <v>IM410</v>
          </cell>
          <cell r="O312" t="str">
            <v>trailer</v>
          </cell>
          <cell r="P312" t="str">
            <v>n/a</v>
          </cell>
        </row>
        <row r="313">
          <cell r="A313">
            <v>305</v>
          </cell>
          <cell r="B313" t="str">
            <v>D14207L1007159</v>
          </cell>
          <cell r="C313" t="str">
            <v>I132DI</v>
          </cell>
          <cell r="D313">
            <v>1997</v>
          </cell>
          <cell r="E313" t="str">
            <v>Case</v>
          </cell>
          <cell r="H313" t="e">
            <v>#N/A</v>
          </cell>
          <cell r="K313" t="str">
            <v>Trailer</v>
          </cell>
          <cell r="L313" t="str">
            <v>CASE TRLR</v>
          </cell>
          <cell r="M313" t="str">
            <v>OP460</v>
          </cell>
          <cell r="N313" t="str">
            <v>PR460</v>
          </cell>
          <cell r="O313" t="str">
            <v>trailer</v>
          </cell>
          <cell r="P313" t="str">
            <v>n/a</v>
          </cell>
        </row>
        <row r="314">
          <cell r="A314">
            <v>270</v>
          </cell>
          <cell r="B314" t="str">
            <v>DHJCG1950</v>
          </cell>
          <cell r="C314" t="str">
            <v>GBC866</v>
          </cell>
          <cell r="D314">
            <v>1979</v>
          </cell>
          <cell r="E314" t="str">
            <v>Birmingham</v>
          </cell>
          <cell r="F314" t="str">
            <v>690W818FR</v>
          </cell>
          <cell r="G314">
            <v>22750</v>
          </cell>
          <cell r="H314" t="str">
            <v>IM410</v>
          </cell>
          <cell r="I314">
            <v>28856</v>
          </cell>
          <cell r="J314">
            <v>4550</v>
          </cell>
          <cell r="K314" t="str">
            <v>Trailer</v>
          </cell>
          <cell r="L314" t="str">
            <v>Tri-Axle, Old Equipment Trailer</v>
          </cell>
          <cell r="M314" t="str">
            <v>Equipment Trailer</v>
          </cell>
          <cell r="N314" t="str">
            <v>IM410</v>
          </cell>
          <cell r="O314" t="str">
            <v>trailer</v>
          </cell>
          <cell r="P314" t="str">
            <v>n/a</v>
          </cell>
        </row>
        <row r="315">
          <cell r="A315" t="str">
            <v>691A</v>
          </cell>
          <cell r="B315" t="str">
            <v>FLT3033U</v>
          </cell>
          <cell r="C315" t="str">
            <v>GBP243</v>
          </cell>
          <cell r="D315">
            <v>1982</v>
          </cell>
          <cell r="E315" t="str">
            <v>Pengo</v>
          </cell>
          <cell r="G315" t="str">
            <v>n/a</v>
          </cell>
          <cell r="H315" t="e">
            <v>#N/A</v>
          </cell>
          <cell r="K315" t="str">
            <v>Trailer</v>
          </cell>
          <cell r="M315" t="str">
            <v>Reel Trailer</v>
          </cell>
          <cell r="N315" t="str">
            <v> EL451</v>
          </cell>
          <cell r="O315" t="str">
            <v>trailer</v>
          </cell>
          <cell r="P315" t="str">
            <v>n/a</v>
          </cell>
        </row>
        <row r="316">
          <cell r="A316" t="str">
            <v>692A</v>
          </cell>
          <cell r="B316" t="str">
            <v>FLT3034U</v>
          </cell>
          <cell r="C316" t="str">
            <v>GBP172</v>
          </cell>
          <cell r="D316">
            <v>1982</v>
          </cell>
          <cell r="E316" t="str">
            <v>Pengo</v>
          </cell>
          <cell r="G316" t="str">
            <v>n/a</v>
          </cell>
          <cell r="H316" t="e">
            <v>#N/A</v>
          </cell>
          <cell r="K316" t="str">
            <v>Trailer</v>
          </cell>
          <cell r="M316" t="str">
            <v>Reel Trailer</v>
          </cell>
          <cell r="N316" t="str">
            <v> EL451</v>
          </cell>
          <cell r="O316" t="str">
            <v>trailer</v>
          </cell>
          <cell r="P316" t="str">
            <v>n/a</v>
          </cell>
        </row>
        <row r="317">
          <cell r="A317">
            <v>159</v>
          </cell>
          <cell r="B317" t="str">
            <v>IE9AL10124L252041</v>
          </cell>
          <cell r="C317" t="str">
            <v>GBF965</v>
          </cell>
          <cell r="D317">
            <v>2004</v>
          </cell>
          <cell r="E317" t="str">
            <v>Hombre</v>
          </cell>
          <cell r="G317" t="str">
            <v>wt. 850</v>
          </cell>
          <cell r="H317" t="str">
            <v>MK411</v>
          </cell>
          <cell r="K317" t="str">
            <v>Trailer</v>
          </cell>
          <cell r="L317" t="str">
            <v>Rinnai</v>
          </cell>
          <cell r="M317" t="str">
            <v>Mktg Demo</v>
          </cell>
          <cell r="N317" t="str">
            <v>MK411</v>
          </cell>
          <cell r="O317" t="str">
            <v>trailer</v>
          </cell>
          <cell r="P317" t="str">
            <v>n/a</v>
          </cell>
        </row>
        <row r="318">
          <cell r="A318">
            <v>785</v>
          </cell>
          <cell r="B318" t="str">
            <v>MKT114120101</v>
          </cell>
          <cell r="C318" t="str">
            <v>GBF903</v>
          </cell>
          <cell r="D318">
            <v>2001</v>
          </cell>
          <cell r="G318" t="str">
            <v>n/a</v>
          </cell>
          <cell r="H318" t="e">
            <v>#N/A</v>
          </cell>
          <cell r="I318">
            <v>2001</v>
          </cell>
          <cell r="J318" t="str">
            <v>expensed</v>
          </cell>
          <cell r="K318" t="str">
            <v>Trailer</v>
          </cell>
          <cell r="L318" t="str">
            <v>BBQ Grille</v>
          </cell>
          <cell r="M318" t="str">
            <v>BBQ Trailer</v>
          </cell>
          <cell r="N318" t="str">
            <v>MK412</v>
          </cell>
          <cell r="O318" t="str">
            <v>trailer</v>
          </cell>
          <cell r="P318" t="str">
            <v>n/a</v>
          </cell>
        </row>
        <row r="319">
          <cell r="A319">
            <v>495</v>
          </cell>
          <cell r="B319" t="str">
            <v>MKT121120101</v>
          </cell>
          <cell r="C319" t="str">
            <v>GBC994</v>
          </cell>
          <cell r="D319">
            <v>2001</v>
          </cell>
          <cell r="H319" t="e">
            <v>#N/A</v>
          </cell>
          <cell r="I319">
            <v>2001</v>
          </cell>
          <cell r="J319" t="str">
            <v>expensed</v>
          </cell>
          <cell r="K319" t="str">
            <v>Trailer</v>
          </cell>
          <cell r="L319" t="str">
            <v>BBQ Grille</v>
          </cell>
          <cell r="M319" t="str">
            <v>BBQ Trailer</v>
          </cell>
          <cell r="N319" t="str">
            <v>MK412</v>
          </cell>
          <cell r="O319" t="str">
            <v>trailer</v>
          </cell>
          <cell r="P319" t="str">
            <v>n/a</v>
          </cell>
        </row>
        <row r="320">
          <cell r="A320">
            <v>300</v>
          </cell>
          <cell r="B320" t="str">
            <v>NOVIN000083774080</v>
          </cell>
          <cell r="C320" t="str">
            <v>I133DI</v>
          </cell>
          <cell r="D320">
            <v>1900</v>
          </cell>
          <cell r="E320" t="str">
            <v>home-made</v>
          </cell>
          <cell r="H320" t="e">
            <v>#N/A</v>
          </cell>
          <cell r="K320" t="str">
            <v>Trailer</v>
          </cell>
          <cell r="L320" t="str">
            <v>SPOOL TRLR</v>
          </cell>
          <cell r="M320" t="str">
            <v>PR460</v>
          </cell>
          <cell r="N320" t="str">
            <v>PR460</v>
          </cell>
          <cell r="O320" t="str">
            <v>trailer</v>
          </cell>
          <cell r="P320" t="str">
            <v>n/a</v>
          </cell>
        </row>
        <row r="321">
          <cell r="A321">
            <v>301</v>
          </cell>
          <cell r="B321" t="str">
            <v>NOVIN000090087318</v>
          </cell>
          <cell r="C321" t="str">
            <v>M676QU</v>
          </cell>
          <cell r="D321">
            <v>1978</v>
          </cell>
          <cell r="E321" t="str">
            <v>home-made</v>
          </cell>
          <cell r="H321" t="e">
            <v>#N/A</v>
          </cell>
          <cell r="K321" t="str">
            <v>Trailer</v>
          </cell>
          <cell r="L321" t="str">
            <v>TAPPING TRLR</v>
          </cell>
          <cell r="M321" t="str">
            <v>PR460</v>
          </cell>
          <cell r="N321" t="str">
            <v>PR460</v>
          </cell>
          <cell r="O321" t="str">
            <v>trailer</v>
          </cell>
          <cell r="P321" t="str">
            <v>n/a</v>
          </cell>
        </row>
        <row r="322">
          <cell r="A322">
            <v>140</v>
          </cell>
          <cell r="B322" t="str">
            <v>NOVIN0200176775</v>
          </cell>
          <cell r="C322" t="str">
            <v>GBC978</v>
          </cell>
          <cell r="D322">
            <v>2001</v>
          </cell>
          <cell r="H322" t="e">
            <v>#N/A</v>
          </cell>
          <cell r="I322">
            <v>2001</v>
          </cell>
          <cell r="J322" t="str">
            <v>expensed</v>
          </cell>
          <cell r="K322" t="str">
            <v>Trailer</v>
          </cell>
          <cell r="L322" t="str">
            <v>BBQ Grille</v>
          </cell>
          <cell r="M322" t="str">
            <v>BBQ Trailer</v>
          </cell>
          <cell r="N322" t="str">
            <v>MK412</v>
          </cell>
          <cell r="O322" t="str">
            <v>trailer</v>
          </cell>
          <cell r="P322" t="str">
            <v>n/a</v>
          </cell>
        </row>
        <row r="323">
          <cell r="A323">
            <v>864</v>
          </cell>
          <cell r="B323" t="str">
            <v>NOVIN0200207121</v>
          </cell>
          <cell r="C323" t="str">
            <v>GBC983</v>
          </cell>
          <cell r="D323">
            <v>2001</v>
          </cell>
          <cell r="G323" t="str">
            <v>n/a</v>
          </cell>
          <cell r="H323" t="e">
            <v>#N/A</v>
          </cell>
          <cell r="I323">
            <v>2001</v>
          </cell>
          <cell r="J323" t="str">
            <v>expensed</v>
          </cell>
          <cell r="K323" t="str">
            <v>Trailer</v>
          </cell>
          <cell r="L323" t="str">
            <v>BBQ Grille</v>
          </cell>
          <cell r="M323" t="str">
            <v>BBQ Trailer</v>
          </cell>
          <cell r="N323" t="str">
            <v>MK412</v>
          </cell>
          <cell r="O323" t="str">
            <v>trailer</v>
          </cell>
          <cell r="P323" t="str">
            <v>n/a</v>
          </cell>
        </row>
        <row r="324">
          <cell r="A324">
            <v>491</v>
          </cell>
          <cell r="B324" t="str">
            <v>WPB16933A</v>
          </cell>
          <cell r="C324" t="str">
            <v>GBC982</v>
          </cell>
          <cell r="D324">
            <v>2001</v>
          </cell>
          <cell r="E324" t="str">
            <v>Sullivan</v>
          </cell>
          <cell r="F324" t="str">
            <v>D210Q</v>
          </cell>
          <cell r="H324" t="e">
            <v>#N/A</v>
          </cell>
          <cell r="I324">
            <v>37073</v>
          </cell>
          <cell r="K324" t="str">
            <v>Trailer</v>
          </cell>
          <cell r="L324" t="str">
            <v>Air Compressor</v>
          </cell>
          <cell r="M324" t="str">
            <v>Air Compressor</v>
          </cell>
          <cell r="N324" t="str">
            <v>IM410</v>
          </cell>
          <cell r="O324" t="str">
            <v>trailer</v>
          </cell>
          <cell r="P324" t="str">
            <v>n/a</v>
          </cell>
        </row>
        <row r="325">
          <cell r="A325">
            <v>304</v>
          </cell>
          <cell r="B325" t="str">
            <v>1H9FB263010473406</v>
          </cell>
          <cell r="C325" t="str">
            <v>K839NU</v>
          </cell>
          <cell r="D325">
            <v>1993</v>
          </cell>
          <cell r="E325" t="str">
            <v>Hooper</v>
          </cell>
          <cell r="H325" t="e">
            <v>#N/A</v>
          </cell>
          <cell r="K325" t="str">
            <v>Trailer</v>
          </cell>
          <cell r="L325" t="str">
            <v>BACKHOE TRLR</v>
          </cell>
          <cell r="M325" t="str">
            <v>PR460</v>
          </cell>
          <cell r="N325" t="str">
            <v>PR460</v>
          </cell>
          <cell r="O325" t="str">
            <v>trailer</v>
          </cell>
          <cell r="P325" t="str">
            <v>n/a</v>
          </cell>
        </row>
        <row r="326">
          <cell r="K326" t="str">
            <v>Vehicles Retired or Deadlined</v>
          </cell>
          <cell r="O326" t="str">
            <v>USDOT 221594-FL</v>
          </cell>
        </row>
        <row r="327">
          <cell r="A327" t="str">
            <v>Unit #</v>
          </cell>
          <cell r="B327" t="str">
            <v>VIN</v>
          </cell>
          <cell r="C327" t="str">
            <v>Tag / Mo.</v>
          </cell>
          <cell r="D327" t="str">
            <v>Year</v>
          </cell>
          <cell r="E327" t="str">
            <v>Make</v>
          </cell>
          <cell r="F327" t="str">
            <v>Model</v>
          </cell>
          <cell r="G327" t="str">
            <v>GVWR</v>
          </cell>
          <cell r="H327" t="str">
            <v>Access</v>
          </cell>
          <cell r="I327" t="str">
            <v>Disposal Date</v>
          </cell>
          <cell r="J327" t="str">
            <v>Acq Cost</v>
          </cell>
          <cell r="K327" t="str">
            <v>Body Type</v>
          </cell>
          <cell r="L327" t="str">
            <v>Body Model / Spec / Capacity / S/N / Crane / Liftgate / AFV / Notes / Etc.</v>
          </cell>
          <cell r="M327" t="str">
            <v>Driver / Dept.</v>
          </cell>
          <cell r="O327" t="str">
            <v>Employee</v>
          </cell>
        </row>
        <row r="328">
          <cell r="A328">
            <v>196</v>
          </cell>
          <cell r="B328" t="str">
            <v>1GCEK19V6XE221281</v>
          </cell>
          <cell r="C328" t="str">
            <v>GBG251</v>
          </cell>
          <cell r="D328">
            <v>1999</v>
          </cell>
          <cell r="E328" t="str">
            <v>Chevrolet</v>
          </cell>
          <cell r="F328">
            <v>1500</v>
          </cell>
          <cell r="G328">
            <v>6400</v>
          </cell>
          <cell r="H328" t="str">
            <v>NO</v>
          </cell>
          <cell r="K328" t="str">
            <v>Pickup</v>
          </cell>
          <cell r="L328" t="str">
            <v>***STOLEN***     V8-G, Ext. Cab, 4X4, Leak Survey     ***STOLEN***</v>
          </cell>
          <cell r="M328" t="str">
            <v>***STOLEN***</v>
          </cell>
          <cell r="N328" t="str">
            <v>OP460</v>
          </cell>
          <cell r="O328" t="str">
            <v>Not Assigned</v>
          </cell>
        </row>
        <row r="329">
          <cell r="A329">
            <v>150</v>
          </cell>
          <cell r="B329" t="str">
            <v>1GTEC19T74Z179591</v>
          </cell>
          <cell r="C329" t="str">
            <v>W396YD</v>
          </cell>
          <cell r="D329">
            <v>2004</v>
          </cell>
          <cell r="E329" t="str">
            <v>GMC</v>
          </cell>
          <cell r="F329">
            <v>1500</v>
          </cell>
          <cell r="G329">
            <v>6200</v>
          </cell>
          <cell r="H329" t="str">
            <v>NO</v>
          </cell>
          <cell r="K329" t="str">
            <v>Pickup</v>
          </cell>
          <cell r="L329" t="str">
            <v>5.3L V8-G, Ext. Cab</v>
          </cell>
          <cell r="M329" t="str">
            <v>Measurement Mgr</v>
          </cell>
          <cell r="N329" t="str">
            <v>MS410</v>
          </cell>
          <cell r="O329" t="str">
            <v>Don Middleton</v>
          </cell>
        </row>
        <row r="330">
          <cell r="A330">
            <v>315</v>
          </cell>
          <cell r="B330" t="str">
            <v>1GCDT196868294134</v>
          </cell>
          <cell r="C330" t="str">
            <v>E557ZE</v>
          </cell>
          <cell r="D330">
            <v>2006</v>
          </cell>
          <cell r="E330" t="str">
            <v>Chevrolet</v>
          </cell>
          <cell r="F330" t="str">
            <v>Colorado</v>
          </cell>
          <cell r="G330">
            <v>5300</v>
          </cell>
          <cell r="H330" t="str">
            <v>NO</v>
          </cell>
          <cell r="K330" t="str">
            <v>Comp. P/U</v>
          </cell>
          <cell r="L330" t="str">
            <v>I5-G</v>
          </cell>
          <cell r="M330" t="str">
            <v>Ops</v>
          </cell>
          <cell r="N330" t="str">
            <v>OP460</v>
          </cell>
          <cell r="O330" t="str">
            <v>Spare</v>
          </cell>
        </row>
        <row r="331">
          <cell r="A331">
            <v>323</v>
          </cell>
          <cell r="B331" t="str">
            <v>2G1WT58K579193601</v>
          </cell>
          <cell r="C331" t="str">
            <v>378HEK</v>
          </cell>
          <cell r="D331">
            <v>2007</v>
          </cell>
          <cell r="E331" t="str">
            <v>Chevrolet</v>
          </cell>
          <cell r="F331" t="str">
            <v>Impala</v>
          </cell>
          <cell r="G331">
            <v>4571</v>
          </cell>
          <cell r="H331" t="str">
            <v>NO</v>
          </cell>
          <cell r="K331" t="str">
            <v>Sedan</v>
          </cell>
          <cell r="L331" t="str">
            <v>V6-G</v>
          </cell>
          <cell r="M331" t="str">
            <v>Ops</v>
          </cell>
          <cell r="N331" t="str">
            <v>MK413</v>
          </cell>
          <cell r="O331" t="str">
            <v>SPARE-BAD TRANS.</v>
          </cell>
        </row>
        <row r="332">
          <cell r="A332">
            <v>338</v>
          </cell>
          <cell r="B332" t="str">
            <v>1G4HC5EMXAU112295</v>
          </cell>
          <cell r="C332" t="str">
            <v>ABVN63</v>
          </cell>
          <cell r="D332">
            <v>2010</v>
          </cell>
          <cell r="E332" t="str">
            <v>Buick</v>
          </cell>
          <cell r="F332" t="str">
            <v>Lucerne</v>
          </cell>
          <cell r="G332">
            <v>3735</v>
          </cell>
          <cell r="H332" t="str">
            <v>NO</v>
          </cell>
          <cell r="K332" t="str">
            <v>Sedan</v>
          </cell>
          <cell r="L332" t="str">
            <v>V6-G</v>
          </cell>
          <cell r="M332" t="str">
            <v>VP / Office</v>
          </cell>
          <cell r="N332" t="str">
            <v>MG400</v>
          </cell>
          <cell r="O332" t="str">
            <v>Tom Geoffroy</v>
          </cell>
        </row>
        <row r="333">
          <cell r="A333">
            <v>23</v>
          </cell>
          <cell r="B333" t="str">
            <v>1FDXN808XBVJ30399</v>
          </cell>
          <cell r="C333" t="str">
            <v>H96YHW</v>
          </cell>
          <cell r="D333">
            <v>1981</v>
          </cell>
          <cell r="E333" t="str">
            <v>Ford</v>
          </cell>
          <cell r="F333" t="str">
            <v>LN800</v>
          </cell>
          <cell r="G333">
            <v>27500</v>
          </cell>
          <cell r="H333" t="e">
            <v>#N/A</v>
          </cell>
          <cell r="K333" t="str">
            <v>Maintenance</v>
          </cell>
          <cell r="L333" t="str">
            <v>Old 23 from SF, A/C 5005EH, Deadlined - SOLD</v>
          </cell>
        </row>
        <row r="334">
          <cell r="A334">
            <v>26</v>
          </cell>
          <cell r="B334" t="str">
            <v>1FDXF8280LV01876</v>
          </cell>
          <cell r="C334" t="str">
            <v>M66 90Y</v>
          </cell>
          <cell r="D334">
            <v>1990</v>
          </cell>
          <cell r="E334" t="str">
            <v>Ford</v>
          </cell>
          <cell r="F334" t="str">
            <v>F800</v>
          </cell>
          <cell r="H334" t="e">
            <v>#N/A</v>
          </cell>
          <cell r="K334" t="str">
            <v>Bobtail</v>
          </cell>
          <cell r="L334" t="str">
            <v>AM&amp;T (8/68) 3000 s/n B3559</v>
          </cell>
          <cell r="M334" t="str">
            <v>Barrel &amp; System to NC</v>
          </cell>
        </row>
        <row r="335">
          <cell r="A335">
            <v>27</v>
          </cell>
          <cell r="B335" t="str">
            <v>1FDXF2889LVA01438</v>
          </cell>
          <cell r="C335" t="str">
            <v>GBP661</v>
          </cell>
          <cell r="D335">
            <v>1990</v>
          </cell>
          <cell r="E335" t="str">
            <v>Ford</v>
          </cell>
          <cell r="F335" t="str">
            <v>F800</v>
          </cell>
          <cell r="G335">
            <v>30000</v>
          </cell>
          <cell r="H335" t="e">
            <v>#N/A</v>
          </cell>
          <cell r="K335" t="str">
            <v>Bobtail</v>
          </cell>
          <cell r="L335" t="str">
            <v>Arrow (1979) 2500 s/n 10789, AFV-LP, Transferred from WF 10/13/06, Sold 11/17/07</v>
          </cell>
        </row>
        <row r="336">
          <cell r="A336">
            <v>29</v>
          </cell>
          <cell r="B336" t="str">
            <v>Chassis To Be Sold</v>
          </cell>
          <cell r="C336" t="str">
            <v>M8526W</v>
          </cell>
          <cell r="D336">
            <v>1990</v>
          </cell>
          <cell r="E336" t="str">
            <v>Ford</v>
          </cell>
          <cell r="F336" t="str">
            <v>F800</v>
          </cell>
          <cell r="H336" t="e">
            <v>#N/A</v>
          </cell>
          <cell r="K336" t="str">
            <v>Bobtail</v>
          </cell>
          <cell r="L336" t="str">
            <v>Trinity (6/75) 3000 s/n 118003, Liftgate</v>
          </cell>
          <cell r="M336" t="str">
            <v>Chassis to be Sold</v>
          </cell>
        </row>
        <row r="337">
          <cell r="A337">
            <v>31</v>
          </cell>
          <cell r="B337" t="str">
            <v>1FDXF7085RVA10434</v>
          </cell>
          <cell r="C337" t="str">
            <v>GBP662</v>
          </cell>
          <cell r="D337">
            <v>1993</v>
          </cell>
          <cell r="E337" t="str">
            <v>Ford</v>
          </cell>
          <cell r="F337">
            <v>700</v>
          </cell>
          <cell r="G337">
            <v>28000</v>
          </cell>
          <cell r="H337" t="e">
            <v>#N/A</v>
          </cell>
          <cell r="K337" t="str">
            <v>Bobtail</v>
          </cell>
          <cell r="L337" t="str">
            <v>Texas Weld (1981) 3000 s/n 79002, AFV-LP, traded to Charley's - tank remounted on WF178</v>
          </cell>
          <cell r="M337" t="str">
            <v>Spare</v>
          </cell>
        </row>
        <row r="338">
          <cell r="A338">
            <v>33</v>
          </cell>
          <cell r="B338" t="str">
            <v>1HTSCAAN41H400441</v>
          </cell>
          <cell r="C338" t="str">
            <v>GBP655</v>
          </cell>
          <cell r="D338">
            <v>2001</v>
          </cell>
          <cell r="E338" t="str">
            <v>International</v>
          </cell>
          <cell r="F338">
            <v>4700</v>
          </cell>
          <cell r="G338">
            <v>33000</v>
          </cell>
          <cell r="H338" t="e">
            <v>#N/A</v>
          </cell>
          <cell r="K338" t="str">
            <v>Bobtail</v>
          </cell>
          <cell r="L338" t="str">
            <v>BT&amp;T 3499 s/n 686</v>
          </cell>
          <cell r="M338" t="str">
            <v>Bobtail</v>
          </cell>
          <cell r="N338" t="str">
            <v>PR410</v>
          </cell>
          <cell r="O338" t="str">
            <v>Spare</v>
          </cell>
        </row>
        <row r="339">
          <cell r="A339">
            <v>35</v>
          </cell>
          <cell r="B339" t="str">
            <v>1FDXF2885MVA04080</v>
          </cell>
          <cell r="D339">
            <v>1991</v>
          </cell>
          <cell r="E339" t="str">
            <v>Ford</v>
          </cell>
          <cell r="F339" t="str">
            <v>F 800</v>
          </cell>
          <cell r="H339" t="e">
            <v>#N/A</v>
          </cell>
          <cell r="M339" t="str">
            <v>At Krutsinger 6/04</v>
          </cell>
        </row>
        <row r="340">
          <cell r="A340">
            <v>36</v>
          </cell>
          <cell r="B340" t="str">
            <v>1GDJ7H1BXJ5516503</v>
          </cell>
          <cell r="C340" t="str">
            <v>GBP657</v>
          </cell>
          <cell r="D340">
            <v>1999</v>
          </cell>
          <cell r="E340" t="str">
            <v>GMC</v>
          </cell>
          <cell r="F340" t="str">
            <v>C-6500</v>
          </cell>
          <cell r="G340">
            <v>25950</v>
          </cell>
          <cell r="H340" t="e">
            <v>#N/A</v>
          </cell>
          <cell r="K340" t="str">
            <v>Bobtail</v>
          </cell>
          <cell r="L340" t="str">
            <v>Arrow (7/78) 2600 s/n 9274, AFV-LP, Traded 5/2/08</v>
          </cell>
          <cell r="M340" t="str">
            <v>Jeff Fleischman</v>
          </cell>
        </row>
        <row r="341">
          <cell r="A341">
            <v>37</v>
          </cell>
          <cell r="B341" t="str">
            <v>1FDWF7087JVA32628</v>
          </cell>
          <cell r="C341" t="str">
            <v>GBF943</v>
          </cell>
          <cell r="D341">
            <v>1988</v>
          </cell>
          <cell r="E341" t="str">
            <v>Ford</v>
          </cell>
          <cell r="F341" t="str">
            <v>F700</v>
          </cell>
          <cell r="G341">
            <v>24500</v>
          </cell>
          <cell r="H341" t="e">
            <v>#N/A</v>
          </cell>
          <cell r="K341" t="str">
            <v>Bobtail</v>
          </cell>
          <cell r="L341" t="str">
            <v>Trans West. Ent. 2600 s/n A2068, AFV-LP, 128 from CF, Sold 11/17/07</v>
          </cell>
          <cell r="M341" t="str">
            <v>Spare</v>
          </cell>
        </row>
        <row r="342">
          <cell r="A342">
            <v>38</v>
          </cell>
          <cell r="B342" t="str">
            <v>1FDNF7089MVA14518</v>
          </cell>
          <cell r="C342" t="str">
            <v>G73ILE</v>
          </cell>
          <cell r="D342">
            <v>1991</v>
          </cell>
          <cell r="E342" t="str">
            <v>Ford</v>
          </cell>
          <cell r="F342" t="str">
            <v>F700</v>
          </cell>
          <cell r="G342">
            <v>24500</v>
          </cell>
          <cell r="H342" t="e">
            <v>#N/A</v>
          </cell>
          <cell r="K342" t="str">
            <v>Bobtail</v>
          </cell>
          <cell r="L342" t="str">
            <v>Ntl Butane 2600 s/n B03932, AFV-LP, 1781 from NE, Traded to Charley's 01/07</v>
          </cell>
          <cell r="M342" t="str">
            <v>Spare</v>
          </cell>
        </row>
        <row r="343">
          <cell r="A343">
            <v>96</v>
          </cell>
          <cell r="B343" t="str">
            <v>1FDLF47G8REA45821</v>
          </cell>
          <cell r="C343" t="str">
            <v>GBF927</v>
          </cell>
          <cell r="D343">
            <v>1994</v>
          </cell>
          <cell r="E343" t="str">
            <v>Ford</v>
          </cell>
          <cell r="F343" t="str">
            <v>F450</v>
          </cell>
          <cell r="G343">
            <v>11000</v>
          </cell>
          <cell r="H343" t="e">
            <v>#N/A</v>
          </cell>
          <cell r="K343" t="str">
            <v>Utility body</v>
          </cell>
          <cell r="L343" t="str">
            <v>Transferred from CF, L/M 1,250 lb Liftgate, Sold 11/17/07</v>
          </cell>
        </row>
        <row r="344">
          <cell r="A344">
            <v>100</v>
          </cell>
          <cell r="B344" t="str">
            <v>1G1LD55M1TY164639</v>
          </cell>
          <cell r="C344" t="str">
            <v>GBC930</v>
          </cell>
          <cell r="D344">
            <v>1996</v>
          </cell>
          <cell r="E344" t="str">
            <v>Chevrolet</v>
          </cell>
          <cell r="F344" t="str">
            <v>Corsica</v>
          </cell>
          <cell r="H344" t="e">
            <v>#N/A</v>
          </cell>
          <cell r="K344" t="str">
            <v>Automobile</v>
          </cell>
          <cell r="L344" t="str">
            <v>Sedan</v>
          </cell>
          <cell r="M344" t="str">
            <v>Spare</v>
          </cell>
        </row>
        <row r="345">
          <cell r="A345">
            <v>102</v>
          </cell>
          <cell r="B345" t="str">
            <v>1FTHF25Y5KLB08725</v>
          </cell>
          <cell r="C345" t="str">
            <v>GBC911</v>
          </cell>
          <cell r="D345">
            <v>1989</v>
          </cell>
          <cell r="E345" t="str">
            <v>Ford</v>
          </cell>
          <cell r="F345" t="str">
            <v>F250</v>
          </cell>
          <cell r="G345">
            <v>8600</v>
          </cell>
          <cell r="H345" t="e">
            <v>#N/A</v>
          </cell>
          <cell r="K345" t="str">
            <v>Utility body</v>
          </cell>
          <cell r="L345" t="str">
            <v>Crane, AFV-LP, Deadlined - Sold 1/9/07</v>
          </cell>
        </row>
        <row r="346">
          <cell r="A346">
            <v>103</v>
          </cell>
          <cell r="B346" t="str">
            <v>1FTEE1421VHA63805</v>
          </cell>
          <cell r="C346" t="str">
            <v>GBC934</v>
          </cell>
          <cell r="D346">
            <v>1997</v>
          </cell>
          <cell r="E346" t="str">
            <v>Ford</v>
          </cell>
          <cell r="F346" t="str">
            <v>E150</v>
          </cell>
          <cell r="G346">
            <v>6700</v>
          </cell>
          <cell r="H346" t="e">
            <v>#N/A</v>
          </cell>
          <cell r="K346" t="str">
            <v>Van</v>
          </cell>
          <cell r="L346" t="str">
            <v>SOLD</v>
          </cell>
          <cell r="M346" t="str">
            <v>Spare</v>
          </cell>
        </row>
        <row r="347">
          <cell r="A347">
            <v>103</v>
          </cell>
          <cell r="B347" t="str">
            <v>1FDJF37Y8LNB07364</v>
          </cell>
          <cell r="C347" t="str">
            <v>GBC915</v>
          </cell>
          <cell r="D347">
            <v>1990</v>
          </cell>
          <cell r="E347" t="str">
            <v>Ford</v>
          </cell>
          <cell r="F347" t="str">
            <v>F350</v>
          </cell>
          <cell r="G347">
            <v>10000</v>
          </cell>
          <cell r="H347" t="e">
            <v>#N/A</v>
          </cell>
          <cell r="K347" t="str">
            <v>Flat-Bed Stake</v>
          </cell>
          <cell r="L347" t="str">
            <v>Crane, Liftgate, AFV-LP, SOLD</v>
          </cell>
        </row>
        <row r="348">
          <cell r="A348">
            <v>106</v>
          </cell>
          <cell r="B348" t="str">
            <v>1FTRE1422WHB51894</v>
          </cell>
          <cell r="C348" t="str">
            <v>GBC952</v>
          </cell>
          <cell r="D348">
            <v>1998</v>
          </cell>
          <cell r="E348" t="str">
            <v>Ford</v>
          </cell>
          <cell r="F348" t="str">
            <v>E150</v>
          </cell>
          <cell r="G348">
            <v>6700</v>
          </cell>
          <cell r="H348" t="e">
            <v>#N/A</v>
          </cell>
          <cell r="K348" t="str">
            <v>Van</v>
          </cell>
          <cell r="M348" t="str">
            <v>Spare</v>
          </cell>
        </row>
        <row r="349">
          <cell r="A349">
            <v>107</v>
          </cell>
          <cell r="B349" t="str">
            <v>1FDNF7080JVA37407</v>
          </cell>
          <cell r="C349" t="str">
            <v>X52UYL</v>
          </cell>
          <cell r="D349">
            <v>1989</v>
          </cell>
          <cell r="E349" t="str">
            <v>Ford</v>
          </cell>
          <cell r="F349" t="str">
            <v>F700</v>
          </cell>
          <cell r="G349">
            <v>23100</v>
          </cell>
          <cell r="H349" t="e">
            <v>#N/A</v>
          </cell>
          <cell r="K349" t="str">
            <v>Bobtail</v>
          </cell>
          <cell r="L349" t="str">
            <v>Arrow (12/78) 2500s/n 9630, AFV-LP, Traded to Charley's 10/06</v>
          </cell>
        </row>
        <row r="350">
          <cell r="A350">
            <v>107</v>
          </cell>
          <cell r="B350" t="str">
            <v>1FTRE1428WHB51897</v>
          </cell>
          <cell r="C350" t="str">
            <v>GBD001</v>
          </cell>
          <cell r="D350">
            <v>1998</v>
          </cell>
          <cell r="E350" t="str">
            <v>Ford</v>
          </cell>
          <cell r="F350" t="str">
            <v>E150</v>
          </cell>
          <cell r="G350">
            <v>6700</v>
          </cell>
          <cell r="H350" t="e">
            <v>#N/A</v>
          </cell>
          <cell r="K350" t="str">
            <v>Van</v>
          </cell>
          <cell r="L350" t="str">
            <v>Sold 12/06</v>
          </cell>
          <cell r="M350" t="str">
            <v>Spare</v>
          </cell>
        </row>
        <row r="351">
          <cell r="A351">
            <v>118</v>
          </cell>
          <cell r="B351" t="str">
            <v>1FTYR10D21PB17993</v>
          </cell>
          <cell r="C351" t="str">
            <v>GBC871</v>
          </cell>
          <cell r="D351">
            <v>2001</v>
          </cell>
          <cell r="E351" t="str">
            <v>Ford</v>
          </cell>
          <cell r="F351" t="str">
            <v>Ranger</v>
          </cell>
          <cell r="H351" t="e">
            <v>#N/A</v>
          </cell>
          <cell r="K351" t="str">
            <v>Comp. P/U</v>
          </cell>
          <cell r="L351" t="str">
            <v>Sold 11/17/07</v>
          </cell>
          <cell r="M351" t="str">
            <v>Baldwin</v>
          </cell>
        </row>
        <row r="352">
          <cell r="A352">
            <v>119</v>
          </cell>
          <cell r="B352" t="str">
            <v>1FTRF17W81NB32045</v>
          </cell>
          <cell r="C352" t="str">
            <v>GBC977</v>
          </cell>
          <cell r="D352">
            <v>2001</v>
          </cell>
          <cell r="E352" t="str">
            <v>Ford</v>
          </cell>
          <cell r="F352" t="str">
            <v>F150</v>
          </cell>
          <cell r="G352">
            <v>6050</v>
          </cell>
          <cell r="H352" t="e">
            <v>#N/A</v>
          </cell>
          <cell r="K352" t="str">
            <v>Pickup</v>
          </cell>
          <cell r="L352" t="str">
            <v>OUT OF SERVICE</v>
          </cell>
          <cell r="M352" t="str">
            <v>Spare</v>
          </cell>
          <cell r="O352" t="str">
            <v>Temp Meter Reader</v>
          </cell>
        </row>
        <row r="353">
          <cell r="A353">
            <v>124</v>
          </cell>
          <cell r="B353" t="str">
            <v>1FDNF20L7YE051508</v>
          </cell>
          <cell r="C353" t="str">
            <v>GBC985</v>
          </cell>
          <cell r="D353">
            <v>2000</v>
          </cell>
          <cell r="E353" t="str">
            <v>Ford</v>
          </cell>
          <cell r="F353" t="str">
            <v>F250</v>
          </cell>
          <cell r="G353">
            <v>8800</v>
          </cell>
          <cell r="H353" t="e">
            <v>#N/A</v>
          </cell>
          <cell r="K353" t="str">
            <v>Pickup</v>
          </cell>
          <cell r="L353" t="str">
            <v>AFV-B/F, Sold 11/17/07</v>
          </cell>
          <cell r="M353" t="str">
            <v>Ponder</v>
          </cell>
        </row>
        <row r="354">
          <cell r="A354">
            <v>126</v>
          </cell>
          <cell r="B354" t="str">
            <v>1FTNF20L1YEA92986</v>
          </cell>
          <cell r="C354" t="str">
            <v>GBC987</v>
          </cell>
          <cell r="D354">
            <v>2000</v>
          </cell>
          <cell r="E354" t="str">
            <v>Ford</v>
          </cell>
          <cell r="F354" t="str">
            <v>F250</v>
          </cell>
          <cell r="G354">
            <v>8800</v>
          </cell>
          <cell r="H354" t="e">
            <v>#N/A</v>
          </cell>
          <cell r="K354" t="str">
            <v>Pickup</v>
          </cell>
          <cell r="L354" t="str">
            <v>AFV-B/F</v>
          </cell>
          <cell r="M354" t="str">
            <v>Spare</v>
          </cell>
        </row>
        <row r="355">
          <cell r="A355">
            <v>127</v>
          </cell>
          <cell r="B355" t="str">
            <v>1FDNF20L5XEE23630</v>
          </cell>
          <cell r="C355" t="str">
            <v>GBC988</v>
          </cell>
          <cell r="D355">
            <v>2000</v>
          </cell>
          <cell r="E355" t="str">
            <v>Ford</v>
          </cell>
          <cell r="F355" t="str">
            <v>F250</v>
          </cell>
          <cell r="G355">
            <v>8800</v>
          </cell>
          <cell r="H355" t="e">
            <v>#N/A</v>
          </cell>
          <cell r="K355" t="str">
            <v>Utility</v>
          </cell>
          <cell r="L355" t="str">
            <v>OUT OF SERVICE</v>
          </cell>
        </row>
        <row r="356">
          <cell r="A356">
            <v>129</v>
          </cell>
          <cell r="B356" t="str">
            <v>1FDXNF70J4NVA24863</v>
          </cell>
          <cell r="C356" t="str">
            <v>GBF947</v>
          </cell>
          <cell r="D356">
            <v>1992</v>
          </cell>
          <cell r="E356" t="str">
            <v>Ford</v>
          </cell>
          <cell r="F356" t="str">
            <v>F700</v>
          </cell>
          <cell r="G356">
            <v>26000</v>
          </cell>
          <cell r="H356" t="e">
            <v>#N/A</v>
          </cell>
          <cell r="K356" t="str">
            <v>Bobtail</v>
          </cell>
          <cell r="L356" t="str">
            <v>Amer Tank 2600 s/n 106192, Dunnellon, AFV-LP, SOLD 12/31/08</v>
          </cell>
          <cell r="M356" t="str">
            <v>Bobtail</v>
          </cell>
        </row>
        <row r="357">
          <cell r="A357">
            <v>130</v>
          </cell>
          <cell r="B357" t="str">
            <v>SOLD</v>
          </cell>
          <cell r="D357">
            <v>1984</v>
          </cell>
          <cell r="E357" t="str">
            <v>Ford</v>
          </cell>
          <cell r="F357">
            <v>250</v>
          </cell>
          <cell r="H357" t="e">
            <v>#N/A</v>
          </cell>
          <cell r="K357" t="str">
            <v>Utility body</v>
          </cell>
          <cell r="L357" t="str">
            <v>N/A</v>
          </cell>
          <cell r="M357" t="str">
            <v>SOLD</v>
          </cell>
        </row>
        <row r="358">
          <cell r="A358">
            <v>133</v>
          </cell>
          <cell r="B358" t="str">
            <v>1FDKF37G5VEB97846</v>
          </cell>
          <cell r="C358" t="str">
            <v>GBF946</v>
          </cell>
          <cell r="D358">
            <v>1997</v>
          </cell>
          <cell r="E358" t="str">
            <v>Ford</v>
          </cell>
          <cell r="F358" t="str">
            <v>F350</v>
          </cell>
          <cell r="G358">
            <v>11000</v>
          </cell>
          <cell r="H358" t="e">
            <v>#N/A</v>
          </cell>
          <cell r="L358" t="str">
            <v>AFV-B/F, Sold 12/06</v>
          </cell>
          <cell r="M358" t="str">
            <v>Williams</v>
          </cell>
        </row>
        <row r="359">
          <cell r="A359">
            <v>136</v>
          </cell>
          <cell r="B359" t="str">
            <v>SOLD</v>
          </cell>
          <cell r="D359">
            <v>1996</v>
          </cell>
          <cell r="E359" t="str">
            <v>Chevy</v>
          </cell>
          <cell r="F359" t="str">
            <v>Lumina</v>
          </cell>
          <cell r="H359" t="e">
            <v>#N/A</v>
          </cell>
          <cell r="K359" t="str">
            <v>Sedan</v>
          </cell>
          <cell r="L359" t="str">
            <v>N/A</v>
          </cell>
          <cell r="M359" t="str">
            <v>SOLD</v>
          </cell>
        </row>
        <row r="360">
          <cell r="A360">
            <v>137</v>
          </cell>
          <cell r="B360" t="str">
            <v>2GTEC19V621388327</v>
          </cell>
          <cell r="C360" t="str">
            <v>GBC991</v>
          </cell>
          <cell r="D360">
            <v>2002</v>
          </cell>
          <cell r="E360" t="str">
            <v>GMC</v>
          </cell>
          <cell r="F360">
            <v>1500</v>
          </cell>
          <cell r="G360">
            <v>6200</v>
          </cell>
          <cell r="H360" t="e">
            <v>#N/A</v>
          </cell>
          <cell r="K360" t="str">
            <v>Pickup</v>
          </cell>
          <cell r="L360" t="str">
            <v>OUT OF SERVICE</v>
          </cell>
          <cell r="M360" t="str">
            <v>Sys Ops Supv</v>
          </cell>
          <cell r="O360" t="str">
            <v>Glenn Pendleton</v>
          </cell>
        </row>
        <row r="361">
          <cell r="A361">
            <v>138</v>
          </cell>
          <cell r="B361" t="str">
            <v>1GTCS145128237555</v>
          </cell>
          <cell r="C361" t="str">
            <v>GBC990</v>
          </cell>
          <cell r="D361">
            <v>2002</v>
          </cell>
          <cell r="E361" t="str">
            <v>GMC</v>
          </cell>
          <cell r="F361" t="str">
            <v>Sonoma</v>
          </cell>
          <cell r="H361" t="e">
            <v>#N/A</v>
          </cell>
          <cell r="K361" t="str">
            <v>Comp. P/U</v>
          </cell>
          <cell r="M361" t="str">
            <v>Deadlined</v>
          </cell>
        </row>
        <row r="362">
          <cell r="A362">
            <v>141</v>
          </cell>
          <cell r="B362" t="str">
            <v>2GCEC19V221412963</v>
          </cell>
          <cell r="C362" t="str">
            <v>GBC995</v>
          </cell>
          <cell r="D362">
            <v>2002</v>
          </cell>
          <cell r="E362" t="str">
            <v>Chevrolet</v>
          </cell>
          <cell r="F362" t="str">
            <v>Pickup</v>
          </cell>
          <cell r="H362" t="e">
            <v>#N/A</v>
          </cell>
          <cell r="K362" t="str">
            <v>Pick-up</v>
          </cell>
          <cell r="L362" t="str">
            <v>5.3L V8-G, Ext. Cab</v>
          </cell>
          <cell r="M362" t="str">
            <v>Flo-Gas Supv</v>
          </cell>
          <cell r="N362" t="str">
            <v>IM430</v>
          </cell>
          <cell r="O362" t="str">
            <v>Greg Blazina</v>
          </cell>
        </row>
        <row r="363">
          <cell r="A363">
            <v>142</v>
          </cell>
          <cell r="B363" t="str">
            <v>1GTHC29U32E292390</v>
          </cell>
          <cell r="C363" t="str">
            <v>GBF952</v>
          </cell>
          <cell r="D363">
            <v>2002</v>
          </cell>
          <cell r="E363" t="str">
            <v>GMC</v>
          </cell>
          <cell r="F363">
            <v>2500</v>
          </cell>
          <cell r="G363">
            <v>9200</v>
          </cell>
          <cell r="H363" t="e">
            <v>#N/A</v>
          </cell>
          <cell r="K363" t="str">
            <v>Pickup</v>
          </cell>
          <cell r="L363" t="str">
            <v>OUT OF SERVICE, Ext. Cab / Utility</v>
          </cell>
          <cell r="M363" t="str">
            <v>Sys Ops</v>
          </cell>
          <cell r="O363" t="str">
            <v>Craig O'Brien</v>
          </cell>
        </row>
        <row r="364">
          <cell r="A364">
            <v>144</v>
          </cell>
          <cell r="B364" t="str">
            <v>1GTCS14H138257431</v>
          </cell>
          <cell r="C364" t="str">
            <v>GBD003</v>
          </cell>
          <cell r="D364">
            <v>2003</v>
          </cell>
          <cell r="E364" t="str">
            <v>GMC</v>
          </cell>
          <cell r="F364" t="str">
            <v>Sonoma</v>
          </cell>
          <cell r="H364" t="e">
            <v>#N/A</v>
          </cell>
          <cell r="K364" t="str">
            <v>Comp. P/U</v>
          </cell>
          <cell r="L364" t="str">
            <v>OUT OF SERVICE</v>
          </cell>
        </row>
        <row r="365">
          <cell r="A365">
            <v>146</v>
          </cell>
          <cell r="B365" t="str">
            <v>1GTGG25V331229104</v>
          </cell>
          <cell r="C365" t="str">
            <v>GBP134</v>
          </cell>
          <cell r="D365">
            <v>2003</v>
          </cell>
          <cell r="E365" t="str">
            <v>GMC</v>
          </cell>
          <cell r="F365">
            <v>2500</v>
          </cell>
          <cell r="G365">
            <v>8600</v>
          </cell>
          <cell r="H365" t="e">
            <v>#N/A</v>
          </cell>
          <cell r="K365" t="str">
            <v>Van</v>
          </cell>
          <cell r="L365" t="str">
            <v>OUT OF SERVICE</v>
          </cell>
        </row>
        <row r="366">
          <cell r="A366">
            <v>147</v>
          </cell>
          <cell r="B366" t="str">
            <v>1GTGG25V631228612</v>
          </cell>
          <cell r="C366" t="str">
            <v>GBD002</v>
          </cell>
          <cell r="D366">
            <v>2003</v>
          </cell>
          <cell r="E366" t="str">
            <v>GMC</v>
          </cell>
          <cell r="F366">
            <v>2500</v>
          </cell>
          <cell r="G366">
            <v>8600</v>
          </cell>
          <cell r="H366" t="e">
            <v>#N/A</v>
          </cell>
          <cell r="K366" t="str">
            <v>Van</v>
          </cell>
          <cell r="L366" t="str">
            <v>6.0L V8-G, OUT OF SERVICE</v>
          </cell>
        </row>
        <row r="367">
          <cell r="A367">
            <v>157</v>
          </cell>
          <cell r="B367" t="str">
            <v>1GTGG29V541213661</v>
          </cell>
          <cell r="C367" t="str">
            <v>GBP935</v>
          </cell>
          <cell r="D367">
            <v>2004</v>
          </cell>
          <cell r="E367" t="str">
            <v>GMC</v>
          </cell>
          <cell r="F367">
            <v>2500</v>
          </cell>
          <cell r="G367">
            <v>8600</v>
          </cell>
          <cell r="H367" t="e">
            <v>#N/A</v>
          </cell>
          <cell r="K367" t="str">
            <v>Van</v>
          </cell>
          <cell r="M367" t="str">
            <v>Service</v>
          </cell>
          <cell r="O367" t="str">
            <v>Tim Love</v>
          </cell>
        </row>
        <row r="368">
          <cell r="A368">
            <v>160</v>
          </cell>
          <cell r="B368" t="str">
            <v>1GTCS148948195441</v>
          </cell>
          <cell r="C368" t="str">
            <v>GBP940</v>
          </cell>
          <cell r="D368">
            <v>2004</v>
          </cell>
          <cell r="E368" t="str">
            <v>GMC</v>
          </cell>
          <cell r="F368" t="str">
            <v>Canyon</v>
          </cell>
          <cell r="H368" t="e">
            <v>#N/A</v>
          </cell>
          <cell r="K368" t="str">
            <v>Comp. P/U</v>
          </cell>
          <cell r="L368" t="str">
            <v>I4-G</v>
          </cell>
          <cell r="M368" t="str">
            <v>Meter Reader Spare</v>
          </cell>
          <cell r="N368" t="str">
            <v>SV430</v>
          </cell>
          <cell r="O368" t="str">
            <v>John Baldwin</v>
          </cell>
        </row>
        <row r="369">
          <cell r="A369">
            <v>161</v>
          </cell>
          <cell r="B369" t="str">
            <v>1GDHC29U54E388780</v>
          </cell>
          <cell r="C369" t="str">
            <v>GBP954</v>
          </cell>
          <cell r="D369">
            <v>2004</v>
          </cell>
          <cell r="E369" t="str">
            <v>GMC</v>
          </cell>
          <cell r="F369">
            <v>2500</v>
          </cell>
          <cell r="G369">
            <v>9200</v>
          </cell>
          <cell r="H369" t="e">
            <v>#N/A</v>
          </cell>
          <cell r="K369" t="str">
            <v>Pickup</v>
          </cell>
          <cell r="L369" t="str">
            <v>6.0L V8-G, Ext. Cab / Utility</v>
          </cell>
          <cell r="M369" t="str">
            <v>Sys Ops</v>
          </cell>
          <cell r="N369" t="str">
            <v>SY430</v>
          </cell>
          <cell r="O369" t="str">
            <v>Mike Lackey</v>
          </cell>
        </row>
        <row r="370">
          <cell r="A370">
            <v>162</v>
          </cell>
          <cell r="B370" t="str">
            <v>1GNDS13SX62120312</v>
          </cell>
          <cell r="C370" t="str">
            <v>P461PQ</v>
          </cell>
          <cell r="D370">
            <v>2006</v>
          </cell>
          <cell r="E370" t="str">
            <v>Chevrolet</v>
          </cell>
          <cell r="F370" t="str">
            <v>TrailBlazer</v>
          </cell>
          <cell r="H370" t="e">
            <v>#N/A</v>
          </cell>
          <cell r="K370" t="str">
            <v>SUV</v>
          </cell>
          <cell r="M370" t="str">
            <v>Gen Mgr</v>
          </cell>
          <cell r="O370" t="str">
            <v>Don Kitner</v>
          </cell>
        </row>
        <row r="371">
          <cell r="A371">
            <v>171</v>
          </cell>
          <cell r="B371" t="str">
            <v>1GTCS148068227843</v>
          </cell>
          <cell r="C371" t="str">
            <v>GBC959</v>
          </cell>
          <cell r="D371">
            <v>2006</v>
          </cell>
          <cell r="E371" t="str">
            <v>GMC</v>
          </cell>
          <cell r="F371" t="str">
            <v>Canyon</v>
          </cell>
          <cell r="G371">
            <v>4850</v>
          </cell>
          <cell r="H371" t="e">
            <v>#N/A</v>
          </cell>
          <cell r="K371" t="str">
            <v>Comp. P/U</v>
          </cell>
          <cell r="L371" t="str">
            <v>I4-G, Std. Cab</v>
          </cell>
          <cell r="M371" t="str">
            <v>Meter Reader Sapre</v>
          </cell>
          <cell r="N371" t="str">
            <v>SV430</v>
          </cell>
          <cell r="O371" t="str">
            <v>Unassigned</v>
          </cell>
        </row>
        <row r="372">
          <cell r="A372">
            <v>180</v>
          </cell>
          <cell r="B372" t="str">
            <v>JTMZD33VX76028769</v>
          </cell>
          <cell r="C372" t="str">
            <v>F061TI</v>
          </cell>
          <cell r="D372">
            <v>2007</v>
          </cell>
          <cell r="E372" t="str">
            <v>Toyota</v>
          </cell>
          <cell r="F372" t="str">
            <v>Rav4</v>
          </cell>
          <cell r="H372" t="e">
            <v>#N/A</v>
          </cell>
          <cell r="K372" t="str">
            <v>SUV</v>
          </cell>
          <cell r="M372" t="str">
            <v>Conservation Rep</v>
          </cell>
          <cell r="O372" t="str">
            <v>Kira Lake</v>
          </cell>
        </row>
        <row r="373">
          <cell r="A373">
            <v>181</v>
          </cell>
          <cell r="B373" t="str">
            <v>1G1LD55M2TY115594</v>
          </cell>
          <cell r="C373" t="str">
            <v>GBC953</v>
          </cell>
          <cell r="D373">
            <v>1996</v>
          </cell>
          <cell r="E373" t="str">
            <v>Chevrolet</v>
          </cell>
          <cell r="F373" t="str">
            <v>Corsica</v>
          </cell>
          <cell r="H373" t="e">
            <v>#N/A</v>
          </cell>
          <cell r="K373" t="str">
            <v>Automobile</v>
          </cell>
          <cell r="L373" t="str">
            <v>Sedan, Renumbered - formerly 101, Sold 11/17/07</v>
          </cell>
          <cell r="M373" t="str">
            <v>Pool</v>
          </cell>
        </row>
        <row r="374">
          <cell r="A374">
            <v>197</v>
          </cell>
          <cell r="B374">
            <v>2693</v>
          </cell>
          <cell r="C374" t="str">
            <v>GBC865</v>
          </cell>
          <cell r="H374" t="e">
            <v>#N/A</v>
          </cell>
          <cell r="K374" t="str">
            <v>Trailer</v>
          </cell>
          <cell r="L374" t="str">
            <v>Junker, No Ramps, Ditch Witch, slated for auction in May-10</v>
          </cell>
          <cell r="M374" t="str">
            <v>Equipment Trailer</v>
          </cell>
          <cell r="O374" t="str">
            <v>Equipment Trailer</v>
          </cell>
        </row>
        <row r="375">
          <cell r="A375">
            <v>339</v>
          </cell>
          <cell r="B375" t="str">
            <v>X</v>
          </cell>
          <cell r="C375" t="str">
            <v>GBC967</v>
          </cell>
          <cell r="H375" t="e">
            <v>#N/A</v>
          </cell>
          <cell r="K375" t="str">
            <v>Open Trailer</v>
          </cell>
          <cell r="L375" t="str">
            <v>Small Trencher, Sold 12/06</v>
          </cell>
          <cell r="M375" t="str">
            <v>in Lantana Yard 6/06</v>
          </cell>
        </row>
        <row r="376">
          <cell r="A376">
            <v>346</v>
          </cell>
          <cell r="B376" t="str">
            <v>1FTFF25Y7HNB12490</v>
          </cell>
          <cell r="C376" t="str">
            <v>GBC869</v>
          </cell>
          <cell r="D376">
            <v>1987</v>
          </cell>
          <cell r="E376" t="str">
            <v>Ford</v>
          </cell>
          <cell r="F376" t="str">
            <v>F250</v>
          </cell>
          <cell r="G376">
            <v>7700</v>
          </cell>
          <cell r="H376" t="e">
            <v>#N/A</v>
          </cell>
          <cell r="K376" t="str">
            <v>Utility</v>
          </cell>
          <cell r="L376" t="str">
            <v>Deadlined</v>
          </cell>
        </row>
        <row r="377">
          <cell r="A377">
            <v>347</v>
          </cell>
          <cell r="B377" t="str">
            <v>1WC200D1XH3013454</v>
          </cell>
          <cell r="C377" t="str">
            <v>GBC968</v>
          </cell>
          <cell r="E377" t="str">
            <v>Wells</v>
          </cell>
          <cell r="H377" t="e">
            <v>#N/A</v>
          </cell>
          <cell r="K377" t="str">
            <v>10' Trailer</v>
          </cell>
          <cell r="L377" t="str">
            <v>Enclosed - Meter Shop, Sold 4/30/08</v>
          </cell>
          <cell r="M377" t="str">
            <v>Equipment Trailer</v>
          </cell>
        </row>
        <row r="378">
          <cell r="A378">
            <v>356</v>
          </cell>
          <cell r="B378" t="str">
            <v>1FDWF70H4HVA60929</v>
          </cell>
          <cell r="C378" t="str">
            <v>GBP660</v>
          </cell>
          <cell r="D378">
            <v>1987</v>
          </cell>
          <cell r="E378" t="str">
            <v>Ford</v>
          </cell>
          <cell r="F378" t="str">
            <v>F700</v>
          </cell>
          <cell r="G378">
            <v>23100</v>
          </cell>
          <cell r="H378" t="e">
            <v>#N/A</v>
          </cell>
          <cell r="K378" t="str">
            <v>Dump Trk</v>
          </cell>
          <cell r="L378" t="str">
            <v>Auctioned 12/09</v>
          </cell>
          <cell r="M378" t="str">
            <v>Dump Truck</v>
          </cell>
          <cell r="O378" t="str">
            <v>Replaced w/608 but standing in for 421 awaiting repairs</v>
          </cell>
        </row>
        <row r="379">
          <cell r="A379">
            <v>360</v>
          </cell>
          <cell r="B379" t="str">
            <v>1FTEE14Y9JHC22648</v>
          </cell>
          <cell r="C379" t="str">
            <v>GBC873</v>
          </cell>
          <cell r="D379">
            <v>1988</v>
          </cell>
          <cell r="E379" t="str">
            <v>Ford</v>
          </cell>
          <cell r="F379" t="str">
            <v>E150</v>
          </cell>
          <cell r="H379" t="e">
            <v>#N/A</v>
          </cell>
          <cell r="K379" t="str">
            <v>Van</v>
          </cell>
          <cell r="L379" t="str">
            <v>Service</v>
          </cell>
          <cell r="M379" t="str">
            <v>Retired in '04</v>
          </cell>
        </row>
        <row r="380">
          <cell r="A380">
            <v>362</v>
          </cell>
          <cell r="B380" t="str">
            <v>1FTEE14Y7JHC22650</v>
          </cell>
          <cell r="C380" t="str">
            <v>GBC872</v>
          </cell>
          <cell r="D380">
            <v>1988</v>
          </cell>
          <cell r="E380" t="str">
            <v>Ford</v>
          </cell>
          <cell r="F380" t="str">
            <v>E150</v>
          </cell>
          <cell r="H380" t="e">
            <v>#N/A</v>
          </cell>
          <cell r="K380" t="str">
            <v>Van</v>
          </cell>
          <cell r="L380" t="str">
            <v>Service</v>
          </cell>
          <cell r="M380" t="str">
            <v>Retired in '04</v>
          </cell>
        </row>
        <row r="381">
          <cell r="A381">
            <v>363</v>
          </cell>
          <cell r="B381" t="str">
            <v>1FDJF37Y6JNB59508</v>
          </cell>
          <cell r="C381" t="str">
            <v>GBF915</v>
          </cell>
          <cell r="D381">
            <v>1987</v>
          </cell>
          <cell r="E381" t="str">
            <v>Ford</v>
          </cell>
          <cell r="F381" t="str">
            <v>F350</v>
          </cell>
          <cell r="G381">
            <v>10000</v>
          </cell>
          <cell r="H381" t="e">
            <v>#N/A</v>
          </cell>
          <cell r="K381" t="str">
            <v>I&amp;M</v>
          </cell>
          <cell r="L381" t="str">
            <v>Light Crane 1,200 lb, Sold 12/06</v>
          </cell>
          <cell r="M381" t="str">
            <v>Becomes spare in '06</v>
          </cell>
        </row>
        <row r="382">
          <cell r="A382">
            <v>410</v>
          </cell>
          <cell r="B382" t="str">
            <v>1FTEE14Y3RHB71465</v>
          </cell>
          <cell r="C382" t="str">
            <v>GBC897</v>
          </cell>
          <cell r="D382">
            <v>1994</v>
          </cell>
          <cell r="E382" t="str">
            <v>Ford</v>
          </cell>
          <cell r="F382" t="str">
            <v>E150</v>
          </cell>
          <cell r="G382">
            <v>6700</v>
          </cell>
          <cell r="H382" t="e">
            <v>#N/A</v>
          </cell>
          <cell r="K382" t="str">
            <v>Van</v>
          </cell>
          <cell r="L382" t="str">
            <v>Service, Sold 11/17/07</v>
          </cell>
          <cell r="M382" t="str">
            <v>Meter Transport</v>
          </cell>
        </row>
        <row r="383">
          <cell r="A383">
            <v>418</v>
          </cell>
          <cell r="B383" t="str">
            <v>1FDLF47G6REA45820</v>
          </cell>
          <cell r="C383" t="str">
            <v>GBF928</v>
          </cell>
          <cell r="D383">
            <v>1994</v>
          </cell>
          <cell r="E383" t="str">
            <v>Ford</v>
          </cell>
          <cell r="F383" t="str">
            <v>F450</v>
          </cell>
          <cell r="G383">
            <v>15000</v>
          </cell>
          <cell r="H383" t="e">
            <v>#N/A</v>
          </cell>
          <cell r="K383" t="str">
            <v>Utility</v>
          </cell>
          <cell r="L383" t="str">
            <v>I&amp;M, Deadlined</v>
          </cell>
          <cell r="M383" t="str">
            <v>I&amp;M</v>
          </cell>
        </row>
        <row r="384">
          <cell r="A384">
            <v>421</v>
          </cell>
          <cell r="B384" t="str">
            <v>1FDWF7081SVA23585</v>
          </cell>
          <cell r="C384" t="str">
            <v>GBP659</v>
          </cell>
          <cell r="D384">
            <v>1995</v>
          </cell>
          <cell r="E384" t="str">
            <v>Ford</v>
          </cell>
          <cell r="F384" t="str">
            <v>F700</v>
          </cell>
          <cell r="G384">
            <v>24800</v>
          </cell>
          <cell r="H384" t="e">
            <v>#N/A</v>
          </cell>
          <cell r="K384" t="str">
            <v>Dump Trk</v>
          </cell>
          <cell r="L384" t="str">
            <v>AFV-LP, Auctioned 12/09</v>
          </cell>
          <cell r="M384" t="str">
            <v>Dump Truck</v>
          </cell>
          <cell r="O384" t="str">
            <v>Temporarily deadlined waiting for repairs on hold. Meanwhile using 356.</v>
          </cell>
        </row>
        <row r="385">
          <cell r="A385">
            <v>422</v>
          </cell>
          <cell r="B385" t="str">
            <v>JAACL11L4S7200139</v>
          </cell>
          <cell r="C385" t="str">
            <v>GBF937</v>
          </cell>
          <cell r="D385">
            <v>1995</v>
          </cell>
          <cell r="E385" t="str">
            <v>Isuzu</v>
          </cell>
          <cell r="H385" t="e">
            <v>#N/A</v>
          </cell>
          <cell r="K385" t="str">
            <v>Comp. P/U</v>
          </cell>
          <cell r="L385" t="str">
            <v>Std. Cab, Sold 12/06</v>
          </cell>
          <cell r="M385" t="str">
            <v>Meter Reader (spare)</v>
          </cell>
        </row>
        <row r="386">
          <cell r="A386">
            <v>423</v>
          </cell>
          <cell r="B386" t="str">
            <v>JAACL11L6S7202135</v>
          </cell>
          <cell r="C386" t="str">
            <v>GBC938</v>
          </cell>
          <cell r="D386">
            <v>1995</v>
          </cell>
          <cell r="E386" t="str">
            <v>Isuzu</v>
          </cell>
          <cell r="H386" t="e">
            <v>#N/A</v>
          </cell>
          <cell r="K386" t="str">
            <v>Comp. P/U</v>
          </cell>
          <cell r="L386" t="str">
            <v>Std. Cab, Sold 12/06</v>
          </cell>
          <cell r="M386" t="str">
            <v>Meter Reader (spare)</v>
          </cell>
        </row>
        <row r="387">
          <cell r="A387">
            <v>426</v>
          </cell>
          <cell r="B387" t="str">
            <v>1G1BL52W85R149326</v>
          </cell>
          <cell r="C387" t="str">
            <v>GBC910</v>
          </cell>
          <cell r="D387">
            <v>1995</v>
          </cell>
          <cell r="E387" t="str">
            <v>Chevrolet</v>
          </cell>
          <cell r="F387" t="str">
            <v>Caprice</v>
          </cell>
          <cell r="H387" t="e">
            <v>#N/A</v>
          </cell>
          <cell r="K387" t="str">
            <v>Automobile</v>
          </cell>
          <cell r="L387" t="str">
            <v>Sedan</v>
          </cell>
          <cell r="M387" t="str">
            <v>SOLD 5/06</v>
          </cell>
        </row>
        <row r="388">
          <cell r="A388">
            <v>427</v>
          </cell>
          <cell r="B388" t="str">
            <v>1FASP15J6SW273901</v>
          </cell>
          <cell r="C388" t="str">
            <v>GBC879</v>
          </cell>
          <cell r="D388">
            <v>1995</v>
          </cell>
          <cell r="E388" t="str">
            <v>Ford</v>
          </cell>
          <cell r="F388" t="str">
            <v>Escort</v>
          </cell>
          <cell r="H388" t="e">
            <v>#N/A</v>
          </cell>
          <cell r="K388" t="str">
            <v>Automobile</v>
          </cell>
          <cell r="L388" t="str">
            <v>Station Wagon, Courier</v>
          </cell>
          <cell r="M388" t="str">
            <v>Courier</v>
          </cell>
        </row>
        <row r="389">
          <cell r="A389">
            <v>429</v>
          </cell>
          <cell r="B389" t="str">
            <v>1FTDF15Y7SNB28603</v>
          </cell>
          <cell r="C389" t="str">
            <v>GBC913</v>
          </cell>
          <cell r="D389">
            <v>1995</v>
          </cell>
          <cell r="E389" t="str">
            <v>Ford</v>
          </cell>
          <cell r="F389" t="str">
            <v>F150</v>
          </cell>
          <cell r="G389">
            <v>5250</v>
          </cell>
          <cell r="H389" t="e">
            <v>#N/A</v>
          </cell>
          <cell r="K389" t="str">
            <v>Pickup</v>
          </cell>
          <cell r="L389" t="str">
            <v>Std. Cab, Std. Transmission, Sold 11/17/07</v>
          </cell>
          <cell r="M389" t="str">
            <v>John Burke</v>
          </cell>
        </row>
        <row r="390">
          <cell r="A390">
            <v>431</v>
          </cell>
          <cell r="B390" t="str">
            <v>1FTEE14Y0SHB54547</v>
          </cell>
          <cell r="C390" t="str">
            <v>GBC917</v>
          </cell>
          <cell r="D390">
            <v>1995</v>
          </cell>
          <cell r="E390" t="str">
            <v>Ford</v>
          </cell>
          <cell r="F390" t="str">
            <v>E150</v>
          </cell>
          <cell r="G390">
            <v>6700</v>
          </cell>
          <cell r="H390" t="e">
            <v>#N/A</v>
          </cell>
          <cell r="K390" t="str">
            <v>Van</v>
          </cell>
          <cell r="L390" t="str">
            <v>Service</v>
          </cell>
          <cell r="M390" t="str">
            <v>Service (Spare)</v>
          </cell>
        </row>
        <row r="391">
          <cell r="A391">
            <v>433</v>
          </cell>
          <cell r="B391" t="str">
            <v>1FTEE14Y4SHB54549</v>
          </cell>
          <cell r="C391" t="str">
            <v>GBC916</v>
          </cell>
          <cell r="D391">
            <v>1995</v>
          </cell>
          <cell r="E391" t="str">
            <v>Ford</v>
          </cell>
          <cell r="F391" t="str">
            <v>E150</v>
          </cell>
          <cell r="G391">
            <v>6700</v>
          </cell>
          <cell r="H391" t="e">
            <v>#N/A</v>
          </cell>
          <cell r="K391" t="str">
            <v>Van</v>
          </cell>
          <cell r="L391" t="str">
            <v>Service, Dealined</v>
          </cell>
          <cell r="M391" t="str">
            <v>SOLD 5/06</v>
          </cell>
        </row>
        <row r="392">
          <cell r="A392">
            <v>434</v>
          </cell>
          <cell r="B392" t="str">
            <v>1FTEE14Y0SHB54550</v>
          </cell>
          <cell r="C392" t="str">
            <v>GBC914</v>
          </cell>
          <cell r="D392">
            <v>1995</v>
          </cell>
          <cell r="E392" t="str">
            <v>Ford</v>
          </cell>
          <cell r="F392" t="str">
            <v>E150</v>
          </cell>
          <cell r="G392">
            <v>6700</v>
          </cell>
          <cell r="H392" t="e">
            <v>#N/A</v>
          </cell>
          <cell r="K392" t="str">
            <v>Van</v>
          </cell>
          <cell r="L392" t="str">
            <v>Service, Sold 12/06</v>
          </cell>
        </row>
        <row r="393">
          <cell r="A393">
            <v>435</v>
          </cell>
          <cell r="B393" t="str">
            <v>2G1WL52M3S9313950</v>
          </cell>
          <cell r="C393" t="str">
            <v>GBC918</v>
          </cell>
          <cell r="D393">
            <v>1995</v>
          </cell>
          <cell r="E393" t="str">
            <v>Chevrolet</v>
          </cell>
          <cell r="F393" t="str">
            <v>Lumina</v>
          </cell>
          <cell r="H393" t="e">
            <v>#N/A</v>
          </cell>
          <cell r="K393" t="str">
            <v>Automobile</v>
          </cell>
          <cell r="L393" t="str">
            <v>Sedan, Sold 11/17/07</v>
          </cell>
          <cell r="M393" t="str">
            <v>Billy Rodriguez</v>
          </cell>
        </row>
        <row r="394">
          <cell r="A394">
            <v>436</v>
          </cell>
          <cell r="B394" t="str">
            <v>1FTHS24H1SHB65858</v>
          </cell>
          <cell r="C394" t="str">
            <v>GBF929</v>
          </cell>
          <cell r="D394">
            <v>1995</v>
          </cell>
          <cell r="E394" t="str">
            <v>Ford</v>
          </cell>
          <cell r="F394" t="str">
            <v>E250</v>
          </cell>
          <cell r="G394">
            <v>8550</v>
          </cell>
          <cell r="H394" t="e">
            <v>#N/A</v>
          </cell>
          <cell r="K394" t="str">
            <v>Van</v>
          </cell>
          <cell r="L394" t="str">
            <v>Service, Sold 11/17/07</v>
          </cell>
          <cell r="M394" t="str">
            <v>Meter Shop</v>
          </cell>
        </row>
        <row r="395">
          <cell r="A395">
            <v>437</v>
          </cell>
          <cell r="B395" t="str">
            <v>1FDLF47GXSEA60567</v>
          </cell>
          <cell r="C395" t="str">
            <v>GBF937</v>
          </cell>
          <cell r="D395">
            <v>1995</v>
          </cell>
          <cell r="E395" t="str">
            <v>Ford</v>
          </cell>
          <cell r="F395" t="str">
            <v>F450</v>
          </cell>
          <cell r="H395" t="e">
            <v>#N/A</v>
          </cell>
          <cell r="K395" t="str">
            <v>Utility</v>
          </cell>
          <cell r="L395" t="str">
            <v>I&amp;M, Deadlined</v>
          </cell>
          <cell r="M395" t="str">
            <v>I&amp;M</v>
          </cell>
        </row>
        <row r="396">
          <cell r="A396">
            <v>440</v>
          </cell>
          <cell r="B396" t="str">
            <v>1GCCS1443T8105910</v>
          </cell>
          <cell r="C396" t="str">
            <v>GBC923</v>
          </cell>
          <cell r="D396">
            <v>1996</v>
          </cell>
          <cell r="E396" t="str">
            <v>Chevrolet</v>
          </cell>
          <cell r="F396" t="str">
            <v>S10</v>
          </cell>
          <cell r="H396" t="e">
            <v>#N/A</v>
          </cell>
          <cell r="K396" t="str">
            <v>Comp. P/U</v>
          </cell>
          <cell r="L396" t="str">
            <v>Std. Cab, Sold 12/06</v>
          </cell>
          <cell r="M396" t="str">
            <v>Meter Reader (spare)</v>
          </cell>
        </row>
        <row r="397">
          <cell r="A397">
            <v>442</v>
          </cell>
          <cell r="B397" t="str">
            <v>1FTCR10A4TTA12947</v>
          </cell>
          <cell r="C397" t="str">
            <v>GBC925</v>
          </cell>
          <cell r="D397">
            <v>1996</v>
          </cell>
          <cell r="E397" t="str">
            <v>Ford</v>
          </cell>
          <cell r="F397" t="str">
            <v>Ranger</v>
          </cell>
          <cell r="H397" t="e">
            <v>#N/A</v>
          </cell>
          <cell r="K397" t="str">
            <v>Comp. P/U</v>
          </cell>
          <cell r="L397" t="str">
            <v>Std. Cab</v>
          </cell>
          <cell r="M397" t="str">
            <v>I&amp;M Runner</v>
          </cell>
        </row>
        <row r="398">
          <cell r="A398">
            <v>444</v>
          </cell>
          <cell r="B398" t="str">
            <v>JAACL11L2S7212323</v>
          </cell>
          <cell r="C398" t="str">
            <v>GBC924</v>
          </cell>
          <cell r="D398">
            <v>1995</v>
          </cell>
          <cell r="E398" t="str">
            <v>Isuzu</v>
          </cell>
          <cell r="H398" t="e">
            <v>#N/A</v>
          </cell>
          <cell r="K398" t="str">
            <v>Comp. P/U</v>
          </cell>
          <cell r="L398" t="str">
            <v>Std. Cab, Sold 12/06</v>
          </cell>
          <cell r="M398" t="str">
            <v>I&amp;M</v>
          </cell>
        </row>
        <row r="399">
          <cell r="A399">
            <v>445</v>
          </cell>
          <cell r="B399" t="str">
            <v>1FTEE14Y0THB05074</v>
          </cell>
          <cell r="C399" t="str">
            <v>GBC926</v>
          </cell>
          <cell r="D399">
            <v>1996</v>
          </cell>
          <cell r="E399" t="str">
            <v>Ford</v>
          </cell>
          <cell r="F399" t="str">
            <v>E150</v>
          </cell>
          <cell r="G399">
            <v>6700</v>
          </cell>
          <cell r="H399" t="e">
            <v>#N/A</v>
          </cell>
          <cell r="K399" t="str">
            <v>Van</v>
          </cell>
          <cell r="L399" t="str">
            <v>Service, Dealined</v>
          </cell>
          <cell r="M399" t="str">
            <v>Spare</v>
          </cell>
        </row>
        <row r="400">
          <cell r="A400">
            <v>446</v>
          </cell>
          <cell r="B400" t="str">
            <v>1FTEE14YXTHB05745</v>
          </cell>
          <cell r="C400" t="str">
            <v>GBC927</v>
          </cell>
          <cell r="D400">
            <v>1996</v>
          </cell>
          <cell r="E400" t="str">
            <v>Ford</v>
          </cell>
          <cell r="F400" t="str">
            <v>E150</v>
          </cell>
          <cell r="G400">
            <v>6700</v>
          </cell>
          <cell r="H400" t="e">
            <v>#N/A</v>
          </cell>
          <cell r="K400" t="str">
            <v>Van</v>
          </cell>
          <cell r="L400" t="str">
            <v>Service</v>
          </cell>
          <cell r="M400" t="str">
            <v>SOLD 5/06</v>
          </cell>
        </row>
        <row r="401">
          <cell r="A401">
            <v>447</v>
          </cell>
          <cell r="B401" t="str">
            <v>1FTEE14Y8THB05744</v>
          </cell>
          <cell r="C401" t="str">
            <v>GBC928</v>
          </cell>
          <cell r="D401">
            <v>1996</v>
          </cell>
          <cell r="E401" t="str">
            <v>Ford</v>
          </cell>
          <cell r="F401" t="str">
            <v>E150</v>
          </cell>
          <cell r="G401">
            <v>6700</v>
          </cell>
          <cell r="H401" t="e">
            <v>#N/A</v>
          </cell>
          <cell r="K401" t="str">
            <v>Van</v>
          </cell>
          <cell r="L401" t="str">
            <v>OUT OF SERVICE</v>
          </cell>
        </row>
        <row r="402">
          <cell r="A402">
            <v>448</v>
          </cell>
          <cell r="B402" t="str">
            <v>1FDLF47G6TEB24511</v>
          </cell>
          <cell r="C402" t="str">
            <v>GBF930</v>
          </cell>
          <cell r="D402">
            <v>1996</v>
          </cell>
          <cell r="E402" t="str">
            <v>Ford</v>
          </cell>
          <cell r="F402" t="str">
            <v>F450</v>
          </cell>
          <cell r="G402">
            <v>15000</v>
          </cell>
          <cell r="H402" t="e">
            <v>#N/A</v>
          </cell>
          <cell r="K402" t="str">
            <v>Utility</v>
          </cell>
          <cell r="L402" t="str">
            <v>M&amp;J, Liftgate - Thieman TT12 S/N T-49550, Sold 11/17/07</v>
          </cell>
          <cell r="M402" t="str">
            <v>Ray Esparza</v>
          </cell>
        </row>
        <row r="403">
          <cell r="A403">
            <v>449</v>
          </cell>
          <cell r="B403" t="str">
            <v>2FALP74W1TX210568</v>
          </cell>
          <cell r="C403" t="str">
            <v>GBC929</v>
          </cell>
          <cell r="D403">
            <v>1996</v>
          </cell>
          <cell r="E403" t="str">
            <v>Ford</v>
          </cell>
          <cell r="F403" t="str">
            <v>Crown Vic</v>
          </cell>
          <cell r="H403" t="e">
            <v>#N/A</v>
          </cell>
          <cell r="K403" t="str">
            <v>Automobile</v>
          </cell>
          <cell r="L403" t="str">
            <v>Sedan</v>
          </cell>
          <cell r="M403" t="str">
            <v>Pool</v>
          </cell>
        </row>
        <row r="404">
          <cell r="A404">
            <v>451</v>
          </cell>
          <cell r="B404" t="str">
            <v>1FALP6537TK112615</v>
          </cell>
          <cell r="C404" t="str">
            <v>GBC935</v>
          </cell>
          <cell r="D404">
            <v>1996</v>
          </cell>
          <cell r="E404" t="str">
            <v>Ford</v>
          </cell>
          <cell r="F404" t="str">
            <v>Contour</v>
          </cell>
          <cell r="H404" t="e">
            <v>#N/A</v>
          </cell>
          <cell r="K404" t="str">
            <v>Automobile</v>
          </cell>
          <cell r="L404" t="str">
            <v>Sedan, Sold 12/06</v>
          </cell>
          <cell r="M404" t="str">
            <v>Engineering</v>
          </cell>
        </row>
        <row r="405">
          <cell r="A405">
            <v>453</v>
          </cell>
          <cell r="B405" t="str">
            <v>To Be Sold</v>
          </cell>
          <cell r="D405">
            <v>1997</v>
          </cell>
          <cell r="E405" t="str">
            <v>Ford</v>
          </cell>
          <cell r="F405" t="str">
            <v>Taurus</v>
          </cell>
          <cell r="H405" t="e">
            <v>#N/A</v>
          </cell>
          <cell r="K405" t="str">
            <v>Sedan</v>
          </cell>
          <cell r="L405" t="str">
            <v>N/A</v>
          </cell>
          <cell r="M405" t="str">
            <v>Bad Engine</v>
          </cell>
        </row>
        <row r="406">
          <cell r="A406">
            <v>454</v>
          </cell>
          <cell r="B406" t="str">
            <v>1FTEE1421VHB00612</v>
          </cell>
          <cell r="C406" t="str">
            <v>GBC942</v>
          </cell>
          <cell r="D406">
            <v>1997</v>
          </cell>
          <cell r="E406" t="str">
            <v>Ford</v>
          </cell>
          <cell r="F406" t="str">
            <v>E150</v>
          </cell>
          <cell r="G406">
            <v>6700</v>
          </cell>
          <cell r="H406" t="e">
            <v>#N/A</v>
          </cell>
          <cell r="K406" t="str">
            <v>Van</v>
          </cell>
          <cell r="L406" t="str">
            <v>Service, Sold 11/17/07</v>
          </cell>
        </row>
        <row r="407">
          <cell r="A407">
            <v>456</v>
          </cell>
          <cell r="B407" t="str">
            <v>1FTEE1425VHB00614</v>
          </cell>
          <cell r="C407" t="str">
            <v>GBC938</v>
          </cell>
          <cell r="D407">
            <v>1997</v>
          </cell>
          <cell r="E407" t="str">
            <v>Ford</v>
          </cell>
          <cell r="F407" t="str">
            <v>E150</v>
          </cell>
          <cell r="G407">
            <v>6700</v>
          </cell>
          <cell r="H407" t="e">
            <v>#N/A</v>
          </cell>
          <cell r="K407" t="str">
            <v>Van</v>
          </cell>
          <cell r="L407" t="str">
            <v>Service</v>
          </cell>
          <cell r="M407" t="str">
            <v>Rick Castellanos</v>
          </cell>
        </row>
        <row r="408">
          <cell r="A408">
            <v>457</v>
          </cell>
          <cell r="B408" t="str">
            <v>1FDLF47G3VEB42273</v>
          </cell>
          <cell r="C408" t="str">
            <v>GBF932</v>
          </cell>
          <cell r="D408">
            <v>1997</v>
          </cell>
          <cell r="E408" t="str">
            <v>Ford</v>
          </cell>
          <cell r="F408" t="str">
            <v>F450</v>
          </cell>
          <cell r="G408">
            <v>15000</v>
          </cell>
          <cell r="H408" t="e">
            <v>#N/A</v>
          </cell>
          <cell r="K408" t="str">
            <v>Utility</v>
          </cell>
          <cell r="L408" t="str">
            <v>I&amp;M, Sold 11/17/07</v>
          </cell>
          <cell r="M408" t="str">
            <v>Sam Medina</v>
          </cell>
        </row>
        <row r="409">
          <cell r="A409">
            <v>458</v>
          </cell>
          <cell r="B409" t="str">
            <v>1FDLF47G1VEB42272</v>
          </cell>
          <cell r="C409" t="str">
            <v>GBF933</v>
          </cell>
          <cell r="D409">
            <v>1997</v>
          </cell>
          <cell r="E409" t="str">
            <v>Ford</v>
          </cell>
          <cell r="F409" t="str">
            <v>F450</v>
          </cell>
          <cell r="G409">
            <v>15000</v>
          </cell>
          <cell r="H409" t="e">
            <v>#N/A</v>
          </cell>
          <cell r="K409" t="str">
            <v>Utility</v>
          </cell>
          <cell r="L409" t="str">
            <v>Utility</v>
          </cell>
          <cell r="M409" t="str">
            <v>Meter Shop</v>
          </cell>
        </row>
        <row r="410">
          <cell r="A410">
            <v>460</v>
          </cell>
          <cell r="B410" t="str">
            <v>1G1ND52T3VY109875</v>
          </cell>
          <cell r="C410" t="str">
            <v>GBC940</v>
          </cell>
          <cell r="D410">
            <v>1997</v>
          </cell>
          <cell r="E410" t="str">
            <v>Chevrolet</v>
          </cell>
          <cell r="F410" t="str">
            <v>Malibu</v>
          </cell>
          <cell r="H410" t="e">
            <v>#N/A</v>
          </cell>
          <cell r="K410" t="str">
            <v>Automobile</v>
          </cell>
          <cell r="L410" t="str">
            <v>Sedan</v>
          </cell>
          <cell r="M410" t="str">
            <v>Engineering Spare</v>
          </cell>
          <cell r="N410" t="str">
            <v>EN410</v>
          </cell>
          <cell r="O410" t="str">
            <v>Engineering Spare</v>
          </cell>
        </row>
        <row r="411">
          <cell r="A411">
            <v>461</v>
          </cell>
          <cell r="B411" t="str">
            <v>1G1ND52T4VY115507</v>
          </cell>
          <cell r="C411" t="str">
            <v>GBC943</v>
          </cell>
          <cell r="D411">
            <v>1997</v>
          </cell>
          <cell r="E411" t="str">
            <v>Chevrolet</v>
          </cell>
          <cell r="F411" t="str">
            <v>Malibu</v>
          </cell>
          <cell r="H411" t="e">
            <v>#N/A</v>
          </cell>
          <cell r="K411" t="str">
            <v>Automobile</v>
          </cell>
          <cell r="L411" t="str">
            <v>Sedan, Sold 11/17/07</v>
          </cell>
          <cell r="M411" t="str">
            <v>Pool</v>
          </cell>
        </row>
        <row r="412">
          <cell r="A412">
            <v>462</v>
          </cell>
          <cell r="B412" t="str">
            <v>1GGCS144XVB659382</v>
          </cell>
          <cell r="C412" t="str">
            <v>GBC944</v>
          </cell>
          <cell r="D412">
            <v>1997</v>
          </cell>
          <cell r="E412" t="str">
            <v>Isuzu (GM)</v>
          </cell>
          <cell r="F412" t="str">
            <v>S10</v>
          </cell>
          <cell r="H412" t="e">
            <v>#N/A</v>
          </cell>
          <cell r="K412" t="str">
            <v>Comp. P/U</v>
          </cell>
          <cell r="L412" t="str">
            <v>Std. Cab, Sold 11/17/07</v>
          </cell>
          <cell r="M412" t="str">
            <v>Mario O'Campo</v>
          </cell>
        </row>
        <row r="413">
          <cell r="A413">
            <v>463</v>
          </cell>
          <cell r="B413" t="str">
            <v>1FTCR10A1VTA85311</v>
          </cell>
          <cell r="C413" t="str">
            <v>GBC945</v>
          </cell>
          <cell r="D413">
            <v>1997</v>
          </cell>
          <cell r="E413" t="str">
            <v>Ford</v>
          </cell>
          <cell r="F413" t="str">
            <v>Ranger</v>
          </cell>
          <cell r="H413" t="e">
            <v>#N/A</v>
          </cell>
          <cell r="K413" t="str">
            <v>Comp. P/U</v>
          </cell>
          <cell r="L413" t="str">
            <v>Std. Cab</v>
          </cell>
          <cell r="M413" t="str">
            <v>Pool Spare</v>
          </cell>
        </row>
        <row r="414">
          <cell r="A414">
            <v>464</v>
          </cell>
          <cell r="B414" t="str">
            <v>1G1ND52T3WY145874</v>
          </cell>
          <cell r="C414" t="str">
            <v>GBC946</v>
          </cell>
          <cell r="D414">
            <v>1998</v>
          </cell>
          <cell r="E414" t="str">
            <v>Chevrolet</v>
          </cell>
          <cell r="F414" t="str">
            <v>Malibu</v>
          </cell>
          <cell r="H414" t="e">
            <v>#N/A</v>
          </cell>
          <cell r="K414" t="str">
            <v>Automobile</v>
          </cell>
          <cell r="L414" t="str">
            <v>Sedan</v>
          </cell>
          <cell r="M414" t="str">
            <v>Pool Spare</v>
          </cell>
          <cell r="O414" t="str">
            <v>Pool Spare</v>
          </cell>
        </row>
        <row r="415">
          <cell r="A415">
            <v>466</v>
          </cell>
          <cell r="B415" t="str">
            <v>1FTRE1420WHB51893</v>
          </cell>
          <cell r="C415" t="str">
            <v>GBC950</v>
          </cell>
          <cell r="D415">
            <v>1998</v>
          </cell>
          <cell r="E415" t="str">
            <v>Ford</v>
          </cell>
          <cell r="F415" t="str">
            <v>E150</v>
          </cell>
          <cell r="G415">
            <v>6700</v>
          </cell>
          <cell r="H415" t="e">
            <v>#N/A</v>
          </cell>
          <cell r="K415" t="str">
            <v>Van</v>
          </cell>
          <cell r="L415" t="str">
            <v>Service</v>
          </cell>
          <cell r="M415" t="str">
            <v>Service (Spare)</v>
          </cell>
        </row>
        <row r="416">
          <cell r="A416">
            <v>467</v>
          </cell>
          <cell r="B416" t="str">
            <v>1FTRE1424WHB51895</v>
          </cell>
          <cell r="C416" t="str">
            <v>GBC954</v>
          </cell>
          <cell r="D416">
            <v>1998</v>
          </cell>
          <cell r="E416" t="str">
            <v>Ford</v>
          </cell>
          <cell r="F416" t="str">
            <v>E150</v>
          </cell>
          <cell r="G416">
            <v>6700</v>
          </cell>
          <cell r="H416" t="e">
            <v>#N/A</v>
          </cell>
          <cell r="K416" t="str">
            <v>Van</v>
          </cell>
          <cell r="L416" t="str">
            <v>Service</v>
          </cell>
          <cell r="M416" t="str">
            <v>Service (Spare)</v>
          </cell>
        </row>
        <row r="417">
          <cell r="A417">
            <v>468</v>
          </cell>
          <cell r="B417" t="str">
            <v>1FTRE1426WHB51896</v>
          </cell>
          <cell r="C417" t="str">
            <v>GBC951</v>
          </cell>
          <cell r="D417">
            <v>1998</v>
          </cell>
          <cell r="E417" t="str">
            <v>Ford</v>
          </cell>
          <cell r="F417" t="str">
            <v>E150</v>
          </cell>
          <cell r="G417">
            <v>6700</v>
          </cell>
          <cell r="H417" t="e">
            <v>#N/A</v>
          </cell>
          <cell r="K417" t="str">
            <v>Van</v>
          </cell>
          <cell r="L417" t="str">
            <v>Service</v>
          </cell>
          <cell r="M417" t="str">
            <v>Service</v>
          </cell>
        </row>
        <row r="418">
          <cell r="A418">
            <v>469</v>
          </cell>
          <cell r="B418" t="str">
            <v>1FTZF1724WNB92165</v>
          </cell>
          <cell r="C418" t="str">
            <v>GBC956</v>
          </cell>
          <cell r="D418">
            <v>1998</v>
          </cell>
          <cell r="E418" t="str">
            <v>Ford</v>
          </cell>
          <cell r="F418" t="str">
            <v>F150</v>
          </cell>
          <cell r="G418">
            <v>5500</v>
          </cell>
          <cell r="H418" t="e">
            <v>#N/A</v>
          </cell>
          <cell r="K418" t="str">
            <v>Pickup</v>
          </cell>
          <cell r="L418" t="str">
            <v>Std. Cab, Sold 7/26/10</v>
          </cell>
        </row>
        <row r="419">
          <cell r="A419">
            <v>470</v>
          </cell>
          <cell r="B419" t="str">
            <v>1FTZF1726WNB92166</v>
          </cell>
          <cell r="C419" t="str">
            <v>GBC955</v>
          </cell>
          <cell r="D419">
            <v>1998</v>
          </cell>
          <cell r="E419" t="str">
            <v>Ford</v>
          </cell>
          <cell r="F419" t="str">
            <v>F150</v>
          </cell>
          <cell r="G419">
            <v>5500</v>
          </cell>
          <cell r="H419" t="e">
            <v>#N/A</v>
          </cell>
          <cell r="K419" t="str">
            <v>Pickup</v>
          </cell>
          <cell r="L419" t="str">
            <v>Std. Cab, slated for auction in May-10</v>
          </cell>
          <cell r="M419" t="str">
            <v>Warehouse</v>
          </cell>
          <cell r="O419" t="str">
            <v>Dave Perry</v>
          </cell>
        </row>
        <row r="420">
          <cell r="A420">
            <v>471</v>
          </cell>
          <cell r="B420" t="str">
            <v>1GBKC34JXWF064089</v>
          </cell>
          <cell r="C420" t="str">
            <v>GBF935</v>
          </cell>
          <cell r="D420">
            <v>1998</v>
          </cell>
          <cell r="E420" t="str">
            <v>Chevrolet</v>
          </cell>
          <cell r="G420">
            <v>15000</v>
          </cell>
          <cell r="H420" t="e">
            <v>#N/A</v>
          </cell>
          <cell r="K420" t="str">
            <v>Utility</v>
          </cell>
          <cell r="L420" t="str">
            <v>Utility Hi-Cube</v>
          </cell>
          <cell r="M420" t="str">
            <v>M&amp;J</v>
          </cell>
        </row>
        <row r="421">
          <cell r="A421">
            <v>475</v>
          </cell>
          <cell r="B421" t="str">
            <v>1GNDM19W4XB198459</v>
          </cell>
          <cell r="C421" t="str">
            <v>GBC999</v>
          </cell>
          <cell r="D421">
            <v>1999</v>
          </cell>
          <cell r="E421" t="str">
            <v>Chevrolet</v>
          </cell>
          <cell r="F421" t="str">
            <v>Astro</v>
          </cell>
          <cell r="G421">
            <v>5950</v>
          </cell>
          <cell r="H421" t="e">
            <v>#N/A</v>
          </cell>
          <cell r="K421" t="str">
            <v>Van</v>
          </cell>
          <cell r="L421" t="str">
            <v>Sold 11/17/07</v>
          </cell>
          <cell r="M421" t="str">
            <v>Spare</v>
          </cell>
        </row>
        <row r="422">
          <cell r="A422">
            <v>476</v>
          </cell>
          <cell r="B422" t="str">
            <v>1GBJC34J5XF093111</v>
          </cell>
          <cell r="C422" t="str">
            <v>GBF913</v>
          </cell>
          <cell r="D422">
            <v>1999</v>
          </cell>
          <cell r="E422" t="str">
            <v>Chevrolet</v>
          </cell>
          <cell r="F422">
            <v>3500</v>
          </cell>
          <cell r="G422">
            <v>11000</v>
          </cell>
          <cell r="H422" t="e">
            <v>#N/A</v>
          </cell>
          <cell r="K422" t="str">
            <v>Dump Trk</v>
          </cell>
          <cell r="L422" t="str">
            <v>Dump Bed</v>
          </cell>
          <cell r="M422" t="str">
            <v>I&amp;M Dump Truck</v>
          </cell>
          <cell r="N422" t="str">
            <v>IM410</v>
          </cell>
          <cell r="O422" t="str">
            <v>I&amp;M Dump Truck</v>
          </cell>
        </row>
        <row r="423">
          <cell r="A423">
            <v>477</v>
          </cell>
          <cell r="B423" t="str">
            <v>1G1ND52TOW6122497</v>
          </cell>
          <cell r="C423" t="str">
            <v>GBC939</v>
          </cell>
          <cell r="D423">
            <v>1997</v>
          </cell>
          <cell r="E423" t="str">
            <v>Chevy</v>
          </cell>
          <cell r="F423" t="str">
            <v>Malibu</v>
          </cell>
          <cell r="H423" t="e">
            <v>#N/A</v>
          </cell>
          <cell r="K423" t="str">
            <v>Automobile</v>
          </cell>
          <cell r="L423" t="str">
            <v>Sedan</v>
          </cell>
          <cell r="M423" t="str">
            <v>SOLD</v>
          </cell>
        </row>
        <row r="424">
          <cell r="A424">
            <v>478</v>
          </cell>
          <cell r="B424" t="str">
            <v>2G1WF55EXY9146264</v>
          </cell>
          <cell r="C424" t="str">
            <v>H99YHW</v>
          </cell>
          <cell r="D424">
            <v>2000</v>
          </cell>
          <cell r="E424" t="str">
            <v>Chevrolet</v>
          </cell>
          <cell r="F424" t="str">
            <v>Impala</v>
          </cell>
          <cell r="H424" t="e">
            <v>#N/A</v>
          </cell>
          <cell r="K424" t="str">
            <v>Automobile</v>
          </cell>
          <cell r="L424" t="str">
            <v>Sedan</v>
          </cell>
          <cell r="M424" t="str">
            <v>Pool Spare</v>
          </cell>
        </row>
        <row r="425">
          <cell r="A425">
            <v>480</v>
          </cell>
          <cell r="B425" t="str">
            <v>1FTZF1726YNB43939</v>
          </cell>
          <cell r="C425" t="str">
            <v>GBC970</v>
          </cell>
          <cell r="D425">
            <v>2000</v>
          </cell>
          <cell r="E425" t="str">
            <v>Ford</v>
          </cell>
          <cell r="F425" t="str">
            <v>F150</v>
          </cell>
          <cell r="G425">
            <v>5600</v>
          </cell>
          <cell r="H425" t="e">
            <v>#N/A</v>
          </cell>
          <cell r="K425" t="str">
            <v>Pickup Trk</v>
          </cell>
          <cell r="L425" t="str">
            <v>Std. Cab</v>
          </cell>
          <cell r="M425" t="str">
            <v>Meter Shop Tech</v>
          </cell>
          <cell r="N425" t="str">
            <v>MS410</v>
          </cell>
          <cell r="O425" t="str">
            <v>Skip Flynn</v>
          </cell>
        </row>
        <row r="426">
          <cell r="A426">
            <v>482</v>
          </cell>
          <cell r="B426" t="str">
            <v>1GCCS14Z1SK251249</v>
          </cell>
          <cell r="C426" t="str">
            <v>GBC885</v>
          </cell>
          <cell r="D426">
            <v>1995</v>
          </cell>
          <cell r="E426" t="str">
            <v>Chevrolet</v>
          </cell>
          <cell r="F426" t="str">
            <v>S10</v>
          </cell>
          <cell r="H426" t="e">
            <v>#N/A</v>
          </cell>
          <cell r="K426" t="str">
            <v>Comp. P/U</v>
          </cell>
          <cell r="L426" t="str">
            <v>Std. Cab, Sold 12/06</v>
          </cell>
          <cell r="M426" t="str">
            <v>Tyrone White</v>
          </cell>
        </row>
        <row r="427">
          <cell r="A427">
            <v>483</v>
          </cell>
          <cell r="B427" t="str">
            <v>1GCCS19Z6S8134451</v>
          </cell>
          <cell r="C427" t="str">
            <v>GBC887</v>
          </cell>
          <cell r="D427">
            <v>1995</v>
          </cell>
          <cell r="E427" t="str">
            <v>Chevrolet</v>
          </cell>
          <cell r="F427" t="str">
            <v>S10</v>
          </cell>
          <cell r="H427" t="e">
            <v>#N/A</v>
          </cell>
          <cell r="K427" t="str">
            <v>Comp. P/U</v>
          </cell>
          <cell r="L427" t="str">
            <v>Ext. Cab, Sold 12/06</v>
          </cell>
          <cell r="M427" t="str">
            <v>Cedric Mitchell</v>
          </cell>
        </row>
        <row r="428">
          <cell r="A428">
            <v>484</v>
          </cell>
          <cell r="B428" t="str">
            <v>2FAFP74W11X155744</v>
          </cell>
          <cell r="C428" t="str">
            <v>F909HF</v>
          </cell>
          <cell r="D428">
            <v>2001</v>
          </cell>
          <cell r="E428" t="str">
            <v>Ford</v>
          </cell>
          <cell r="F428" t="str">
            <v>Crown Vic</v>
          </cell>
          <cell r="G428">
            <v>5237</v>
          </cell>
          <cell r="H428" t="e">
            <v>#N/A</v>
          </cell>
          <cell r="K428" t="str">
            <v>Automobile</v>
          </cell>
          <cell r="L428" t="str">
            <v>Sedan, Sold 11/17/07</v>
          </cell>
          <cell r="M428" t="str">
            <v>Pool</v>
          </cell>
        </row>
        <row r="429">
          <cell r="A429">
            <v>485</v>
          </cell>
          <cell r="B429" t="str">
            <v>2B3AD56J71H655986</v>
          </cell>
          <cell r="C429" t="str">
            <v>286YAT</v>
          </cell>
          <cell r="D429">
            <v>2001</v>
          </cell>
          <cell r="E429" t="str">
            <v>Dodge</v>
          </cell>
          <cell r="F429" t="str">
            <v>Intrepid</v>
          </cell>
          <cell r="H429" t="e">
            <v>#N/A</v>
          </cell>
          <cell r="K429" t="str">
            <v>Automobile</v>
          </cell>
          <cell r="L429" t="str">
            <v>Sedan</v>
          </cell>
          <cell r="M429" t="str">
            <v>Pool Spare</v>
          </cell>
          <cell r="N429" t="str">
            <v>-</v>
          </cell>
          <cell r="O429" t="str">
            <v>Pool Spare</v>
          </cell>
        </row>
        <row r="430">
          <cell r="A430">
            <v>489</v>
          </cell>
          <cell r="B430" t="str">
            <v>1FDNX20L71EC74626</v>
          </cell>
          <cell r="C430" t="str">
            <v>GBF926</v>
          </cell>
          <cell r="D430">
            <v>2001</v>
          </cell>
          <cell r="E430" t="str">
            <v>Ford</v>
          </cell>
          <cell r="F430" t="str">
            <v>F250</v>
          </cell>
          <cell r="G430">
            <v>8800</v>
          </cell>
          <cell r="H430" t="e">
            <v>#N/A</v>
          </cell>
          <cell r="K430" t="str">
            <v>Utility</v>
          </cell>
          <cell r="L430" t="str">
            <v>Service, OUT OF SERVICE</v>
          </cell>
          <cell r="M430" t="str">
            <v>Service</v>
          </cell>
        </row>
        <row r="431">
          <cell r="A431">
            <v>490</v>
          </cell>
          <cell r="B431" t="str">
            <v>1FDNX20L01EC74628</v>
          </cell>
          <cell r="C431" t="str">
            <v>GBF924</v>
          </cell>
          <cell r="D431">
            <v>2001</v>
          </cell>
          <cell r="E431" t="str">
            <v>Ford</v>
          </cell>
          <cell r="F431" t="str">
            <v>F250</v>
          </cell>
          <cell r="G431">
            <v>8800</v>
          </cell>
          <cell r="H431" t="e">
            <v>#N/A</v>
          </cell>
          <cell r="K431" t="str">
            <v>Utility</v>
          </cell>
          <cell r="L431" t="str">
            <v>Service, OUT OF SERVICE</v>
          </cell>
          <cell r="M431" t="str">
            <v>Service</v>
          </cell>
        </row>
        <row r="432">
          <cell r="A432">
            <v>494</v>
          </cell>
          <cell r="B432" t="str">
            <v>1FDKF37HXRNB30111</v>
          </cell>
          <cell r="C432" t="str">
            <v>GBF914</v>
          </cell>
          <cell r="D432">
            <v>1994</v>
          </cell>
          <cell r="E432" t="str">
            <v>Ford</v>
          </cell>
          <cell r="F432" t="str">
            <v>F350</v>
          </cell>
          <cell r="G432">
            <v>11000</v>
          </cell>
          <cell r="H432" t="e">
            <v>#N/A</v>
          </cell>
          <cell r="K432" t="str">
            <v>Utility</v>
          </cell>
          <cell r="L432" t="str">
            <v>Gaslight Service, Sold 11/17/07</v>
          </cell>
          <cell r="M432" t="str">
            <v>Sean Jackson</v>
          </cell>
        </row>
        <row r="433">
          <cell r="A433">
            <v>496</v>
          </cell>
          <cell r="B433" t="str">
            <v>1FDWE35L61HB34543</v>
          </cell>
          <cell r="C433" t="str">
            <v>GBD006</v>
          </cell>
          <cell r="D433">
            <v>2001</v>
          </cell>
          <cell r="E433" t="str">
            <v>Ford</v>
          </cell>
          <cell r="F433" t="str">
            <v>E350</v>
          </cell>
          <cell r="G433">
            <v>11500</v>
          </cell>
          <cell r="H433" t="e">
            <v>#N/A</v>
          </cell>
          <cell r="K433" t="str">
            <v>Utility Van</v>
          </cell>
          <cell r="L433" t="str">
            <v>Utility Hi-Cube</v>
          </cell>
          <cell r="M433" t="str">
            <v>M&amp;J</v>
          </cell>
          <cell r="N433" t="str">
            <v>PR410</v>
          </cell>
          <cell r="O433" t="str">
            <v>Vacant Position</v>
          </cell>
        </row>
        <row r="434">
          <cell r="A434">
            <v>499</v>
          </cell>
          <cell r="B434" t="str">
            <v>3FALP6532TM117312</v>
          </cell>
          <cell r="C434" t="str">
            <v>GBD005</v>
          </cell>
          <cell r="D434">
            <v>1996</v>
          </cell>
          <cell r="E434" t="str">
            <v>Ford</v>
          </cell>
          <cell r="F434" t="str">
            <v>Contour</v>
          </cell>
          <cell r="H434" t="e">
            <v>#N/A</v>
          </cell>
          <cell r="K434" t="str">
            <v>Automobile</v>
          </cell>
          <cell r="L434" t="str">
            <v>Sedan, Sold 12/06</v>
          </cell>
          <cell r="M434" t="str">
            <v>Engineering</v>
          </cell>
        </row>
        <row r="435">
          <cell r="A435">
            <v>503</v>
          </cell>
          <cell r="B435" t="str">
            <v>1GTGG25R921219131</v>
          </cell>
          <cell r="C435" t="str">
            <v>GBF957</v>
          </cell>
          <cell r="D435">
            <v>2002</v>
          </cell>
          <cell r="E435" t="str">
            <v>GMC</v>
          </cell>
          <cell r="F435">
            <v>2500</v>
          </cell>
          <cell r="G435">
            <v>8600</v>
          </cell>
          <cell r="H435" t="e">
            <v>#N/A</v>
          </cell>
          <cell r="K435" t="str">
            <v>Van</v>
          </cell>
          <cell r="L435" t="str">
            <v>Service</v>
          </cell>
          <cell r="M435" t="str">
            <v>Meter Shop</v>
          </cell>
          <cell r="N435" t="str">
            <v>MS410</v>
          </cell>
          <cell r="O435" t="str">
            <v>Ernest Washington</v>
          </cell>
        </row>
        <row r="436">
          <cell r="A436">
            <v>506</v>
          </cell>
          <cell r="B436" t="str">
            <v>1FTNW20S63EA00934</v>
          </cell>
          <cell r="C436" t="str">
            <v>168XER</v>
          </cell>
          <cell r="D436">
            <v>2003</v>
          </cell>
          <cell r="E436" t="str">
            <v>Ford</v>
          </cell>
          <cell r="F436" t="str">
            <v>F250</v>
          </cell>
          <cell r="G436">
            <v>8800</v>
          </cell>
          <cell r="H436" t="e">
            <v>#N/A</v>
          </cell>
          <cell r="K436" t="str">
            <v>Pickup</v>
          </cell>
          <cell r="L436" t="str">
            <v>Crew Cab, Sold to Jack 11/09</v>
          </cell>
          <cell r="M436" t="str">
            <v>President</v>
          </cell>
          <cell r="O436" t="str">
            <v>Jack English</v>
          </cell>
        </row>
        <row r="437">
          <cell r="A437">
            <v>508</v>
          </cell>
          <cell r="B437" t="str">
            <v>1GTHC29U62E290195</v>
          </cell>
          <cell r="C437" t="str">
            <v>GBF956</v>
          </cell>
          <cell r="D437">
            <v>2002</v>
          </cell>
          <cell r="E437" t="str">
            <v>GMC</v>
          </cell>
          <cell r="F437">
            <v>2500</v>
          </cell>
          <cell r="G437">
            <v>9200</v>
          </cell>
          <cell r="H437" t="e">
            <v>#N/A</v>
          </cell>
          <cell r="K437" t="str">
            <v>Utility</v>
          </cell>
          <cell r="L437" t="str">
            <v>6.0L V8-G, Ext. Cab</v>
          </cell>
          <cell r="M437" t="str">
            <v>Service</v>
          </cell>
          <cell r="N437" t="str">
            <v>SV411</v>
          </cell>
          <cell r="O437" t="str">
            <v>Sean Jackson</v>
          </cell>
        </row>
        <row r="438">
          <cell r="A438">
            <v>509</v>
          </cell>
          <cell r="B438" t="str">
            <v>1GTHC29UX2E290894</v>
          </cell>
          <cell r="C438" t="str">
            <v>GBF950</v>
          </cell>
          <cell r="D438">
            <v>2002</v>
          </cell>
          <cell r="E438" t="str">
            <v>GMC</v>
          </cell>
          <cell r="F438">
            <v>2500</v>
          </cell>
          <cell r="G438">
            <v>9200</v>
          </cell>
          <cell r="H438" t="e">
            <v>#N/A</v>
          </cell>
          <cell r="K438" t="str">
            <v>Utility</v>
          </cell>
          <cell r="L438" t="str">
            <v>6.0L V8-G, Ext. Cab</v>
          </cell>
          <cell r="M438" t="str">
            <v>Service</v>
          </cell>
          <cell r="N438" t="str">
            <v>SV411</v>
          </cell>
          <cell r="O438" t="str">
            <v>Rocco Tamayo</v>
          </cell>
        </row>
        <row r="439">
          <cell r="A439">
            <v>510</v>
          </cell>
          <cell r="B439" t="str">
            <v>1GTHC29UX2E288403</v>
          </cell>
          <cell r="C439" t="str">
            <v>GBF955</v>
          </cell>
          <cell r="D439">
            <v>2002</v>
          </cell>
          <cell r="E439" t="str">
            <v>GMC</v>
          </cell>
          <cell r="F439">
            <v>2500</v>
          </cell>
          <cell r="G439">
            <v>9200</v>
          </cell>
          <cell r="H439" t="e">
            <v>#N/A</v>
          </cell>
          <cell r="K439" t="str">
            <v>Utility</v>
          </cell>
          <cell r="L439" t="str">
            <v>6.0L V8-G, Ext. Cab</v>
          </cell>
          <cell r="M439" t="str">
            <v>Service</v>
          </cell>
          <cell r="N439" t="str">
            <v>SV411</v>
          </cell>
          <cell r="O439" t="str">
            <v>Spare</v>
          </cell>
        </row>
        <row r="440">
          <cell r="A440">
            <v>514</v>
          </cell>
          <cell r="B440" t="str">
            <v>1GDJG31R921214461</v>
          </cell>
          <cell r="C440" t="str">
            <v>GBF959</v>
          </cell>
          <cell r="D440">
            <v>2002</v>
          </cell>
          <cell r="E440" t="str">
            <v>GMC</v>
          </cell>
          <cell r="G440">
            <v>12000</v>
          </cell>
          <cell r="H440" t="e">
            <v>#N/A</v>
          </cell>
          <cell r="K440" t="str">
            <v>Van</v>
          </cell>
          <cell r="L440" t="str">
            <v>Utility Hi-Cube</v>
          </cell>
          <cell r="M440" t="str">
            <v>M&amp;J</v>
          </cell>
          <cell r="N440" t="str">
            <v>PR410</v>
          </cell>
          <cell r="O440" t="str">
            <v>Richard Singletary</v>
          </cell>
        </row>
        <row r="441">
          <cell r="A441">
            <v>521</v>
          </cell>
          <cell r="B441" t="str">
            <v>1GDE5C1E84F501476</v>
          </cell>
          <cell r="C441" t="str">
            <v>GBF909</v>
          </cell>
          <cell r="D441">
            <v>2004</v>
          </cell>
          <cell r="E441" t="str">
            <v>GMC</v>
          </cell>
          <cell r="F441">
            <v>5500</v>
          </cell>
          <cell r="G441">
            <v>19500</v>
          </cell>
          <cell r="H441" t="e">
            <v>#N/A</v>
          </cell>
          <cell r="K441" t="str">
            <v>Utility</v>
          </cell>
          <cell r="L441" t="str">
            <v>8.1L V8-G, I&amp;M</v>
          </cell>
          <cell r="M441" t="str">
            <v>I&amp;M</v>
          </cell>
          <cell r="N441" t="str">
            <v>IM410</v>
          </cell>
          <cell r="O441" t="str">
            <v>Spare</v>
          </cell>
        </row>
        <row r="442">
          <cell r="A442">
            <v>526</v>
          </cell>
          <cell r="B442" t="str">
            <v>1GDHC29UX4E176697</v>
          </cell>
          <cell r="C442" t="str">
            <v>GBC963</v>
          </cell>
          <cell r="D442">
            <v>2004</v>
          </cell>
          <cell r="E442" t="str">
            <v>GMC</v>
          </cell>
          <cell r="F442">
            <v>2500</v>
          </cell>
          <cell r="G442">
            <v>9200</v>
          </cell>
          <cell r="H442" t="e">
            <v>#N/A</v>
          </cell>
          <cell r="K442" t="str">
            <v>Utility</v>
          </cell>
          <cell r="L442" t="str">
            <v>6.0L V8-G, Ext. Cab</v>
          </cell>
          <cell r="M442" t="str">
            <v>Service</v>
          </cell>
          <cell r="N442" t="str">
            <v>SV411</v>
          </cell>
          <cell r="O442" t="str">
            <v>Cedric Mitchell</v>
          </cell>
        </row>
        <row r="443">
          <cell r="A443">
            <v>528</v>
          </cell>
          <cell r="B443" t="str">
            <v>1GDHC29U94E228613</v>
          </cell>
          <cell r="C443" t="str">
            <v>GBP842</v>
          </cell>
          <cell r="D443">
            <v>2004</v>
          </cell>
          <cell r="E443" t="str">
            <v>GMC</v>
          </cell>
          <cell r="F443">
            <v>2500</v>
          </cell>
          <cell r="G443">
            <v>9200</v>
          </cell>
          <cell r="H443" t="e">
            <v>#N/A</v>
          </cell>
          <cell r="K443" t="str">
            <v>Utility</v>
          </cell>
          <cell r="L443" t="str">
            <v>6.0L V8-G, Ext. Cab</v>
          </cell>
          <cell r="M443" t="str">
            <v>Service</v>
          </cell>
          <cell r="N443" t="str">
            <v>SV411</v>
          </cell>
          <cell r="O443" t="str">
            <v>Jeff Reitz</v>
          </cell>
        </row>
        <row r="444">
          <cell r="A444">
            <v>529</v>
          </cell>
          <cell r="B444" t="str">
            <v>1GTEC19T64Z177217</v>
          </cell>
          <cell r="C444" t="str">
            <v>K414CK</v>
          </cell>
          <cell r="D444">
            <v>2004</v>
          </cell>
          <cell r="E444" t="str">
            <v>GMC</v>
          </cell>
          <cell r="F444">
            <v>1500</v>
          </cell>
          <cell r="G444">
            <v>6200</v>
          </cell>
          <cell r="H444" t="e">
            <v>#N/A</v>
          </cell>
          <cell r="K444" t="str">
            <v>Pickup</v>
          </cell>
          <cell r="L444" t="str">
            <v>5.3L V8-G, Ext. Cab</v>
          </cell>
          <cell r="M444" t="str">
            <v>Corporate Engineer</v>
          </cell>
          <cell r="N444" t="str">
            <v>NG410</v>
          </cell>
          <cell r="O444" t="str">
            <v>Calvin Favors</v>
          </cell>
        </row>
        <row r="445">
          <cell r="A445">
            <v>532</v>
          </cell>
          <cell r="B445" t="str">
            <v>1FTNE2429YHA41075</v>
          </cell>
          <cell r="C445" t="str">
            <v>GBC886</v>
          </cell>
          <cell r="D445">
            <v>2000</v>
          </cell>
          <cell r="E445" t="str">
            <v>Ford</v>
          </cell>
          <cell r="F445" t="str">
            <v>E250</v>
          </cell>
          <cell r="G445">
            <v>8600</v>
          </cell>
          <cell r="H445" t="e">
            <v>#N/A</v>
          </cell>
          <cell r="K445" t="str">
            <v>Van</v>
          </cell>
          <cell r="L445" t="str">
            <v>Service</v>
          </cell>
          <cell r="M445" t="str">
            <v>Flo-Gas Service</v>
          </cell>
          <cell r="N445" t="str">
            <v>PR410</v>
          </cell>
          <cell r="O445" t="str">
            <v>Vacant Position</v>
          </cell>
        </row>
        <row r="446">
          <cell r="A446">
            <v>535</v>
          </cell>
          <cell r="B446" t="str">
            <v>1GTEC19T74Z313337</v>
          </cell>
          <cell r="C446" t="str">
            <v>GBC882</v>
          </cell>
          <cell r="D446">
            <v>2004</v>
          </cell>
          <cell r="E446" t="str">
            <v>GMC</v>
          </cell>
          <cell r="F446">
            <v>1500</v>
          </cell>
          <cell r="G446">
            <v>6200</v>
          </cell>
          <cell r="H446" t="e">
            <v>#N/A</v>
          </cell>
          <cell r="K446" t="str">
            <v>Pickup</v>
          </cell>
          <cell r="L446" t="str">
            <v>Ext. Cab, OUT OF SERVICE</v>
          </cell>
        </row>
        <row r="447">
          <cell r="A447">
            <v>548</v>
          </cell>
          <cell r="B447" t="str">
            <v>1GDHC29U24E386209</v>
          </cell>
          <cell r="C447" t="str">
            <v>GBP951</v>
          </cell>
          <cell r="D447">
            <v>2004</v>
          </cell>
          <cell r="E447" t="str">
            <v>GMC</v>
          </cell>
          <cell r="F447">
            <v>2500</v>
          </cell>
          <cell r="G447">
            <v>9200</v>
          </cell>
          <cell r="H447" t="e">
            <v>#N/A</v>
          </cell>
          <cell r="K447" t="str">
            <v>Utility</v>
          </cell>
          <cell r="L447" t="str">
            <v>6.0L V8-G, Ext. Cab</v>
          </cell>
          <cell r="M447" t="str">
            <v>Service</v>
          </cell>
          <cell r="N447" t="str">
            <v>SV411</v>
          </cell>
          <cell r="O447" t="str">
            <v>Fred Russel</v>
          </cell>
        </row>
        <row r="448">
          <cell r="A448">
            <v>550</v>
          </cell>
          <cell r="B448" t="str">
            <v>1FAFP53U95A183942</v>
          </cell>
          <cell r="C448" t="str">
            <v>H97YHW</v>
          </cell>
          <cell r="D448">
            <v>2005</v>
          </cell>
          <cell r="E448" t="str">
            <v>Ford</v>
          </cell>
          <cell r="F448" t="str">
            <v>Taurus</v>
          </cell>
          <cell r="H448" t="e">
            <v>#N/A</v>
          </cell>
          <cell r="K448" t="str">
            <v>Automobile</v>
          </cell>
          <cell r="L448" t="str">
            <v>Sedan, Sold to Seagrave 5/09</v>
          </cell>
          <cell r="M448" t="str">
            <v>Mktg Director</v>
          </cell>
          <cell r="O448" t="str">
            <v>Marc Seagrave</v>
          </cell>
        </row>
        <row r="449">
          <cell r="A449">
            <v>554</v>
          </cell>
          <cell r="B449" t="str">
            <v>JTEGF21A530074689</v>
          </cell>
          <cell r="C449" t="str">
            <v>F256FT</v>
          </cell>
          <cell r="D449">
            <v>2003</v>
          </cell>
          <cell r="E449" t="str">
            <v>Toyota</v>
          </cell>
          <cell r="F449" t="str">
            <v>Highlander</v>
          </cell>
          <cell r="G449">
            <v>4985</v>
          </cell>
          <cell r="H449" t="e">
            <v>#N/A</v>
          </cell>
          <cell r="K449" t="str">
            <v>SUV</v>
          </cell>
          <cell r="L449" t="str">
            <v>Lease, Turned in 12/06</v>
          </cell>
          <cell r="M449" t="str">
            <v>Geoff Hartman / Conservation</v>
          </cell>
        </row>
        <row r="450">
          <cell r="A450">
            <v>555</v>
          </cell>
          <cell r="B450" t="str">
            <v>2C3HD46R7YH221093</v>
          </cell>
          <cell r="C450" t="str">
            <v>N977UF</v>
          </cell>
          <cell r="D450">
            <v>2000</v>
          </cell>
          <cell r="E450" t="str">
            <v>Chrysler</v>
          </cell>
          <cell r="F450" t="str">
            <v>Concord</v>
          </cell>
          <cell r="H450" t="e">
            <v>#N/A</v>
          </cell>
          <cell r="K450" t="str">
            <v>Automobile</v>
          </cell>
          <cell r="L450" t="str">
            <v>Sedan</v>
          </cell>
          <cell r="M450" t="str">
            <v>Pool Spare</v>
          </cell>
          <cell r="N450" t="str">
            <v>OB840</v>
          </cell>
          <cell r="O450" t="str">
            <v>Pool Spare</v>
          </cell>
        </row>
        <row r="451">
          <cell r="A451">
            <v>560</v>
          </cell>
          <cell r="B451" t="str">
            <v>1GKEC13T65R222008</v>
          </cell>
          <cell r="C451" t="str">
            <v>D177II</v>
          </cell>
          <cell r="D451">
            <v>2005</v>
          </cell>
          <cell r="E451" t="str">
            <v>GMC</v>
          </cell>
          <cell r="F451" t="str">
            <v>Yukon</v>
          </cell>
          <cell r="G451">
            <v>6800</v>
          </cell>
          <cell r="H451" t="e">
            <v>#N/A</v>
          </cell>
          <cell r="K451" t="str">
            <v>SUV</v>
          </cell>
          <cell r="M451" t="str">
            <v>Vice President</v>
          </cell>
          <cell r="O451" t="str">
            <v>Chuck Stein</v>
          </cell>
        </row>
        <row r="452">
          <cell r="A452">
            <v>573</v>
          </cell>
          <cell r="B452" t="str">
            <v>1GCCS144YSK244627</v>
          </cell>
          <cell r="C452" t="str">
            <v>GBC876</v>
          </cell>
          <cell r="D452">
            <v>1995</v>
          </cell>
          <cell r="E452" t="str">
            <v>Chevrolet</v>
          </cell>
          <cell r="F452" t="str">
            <v>S10</v>
          </cell>
          <cell r="G452">
            <v>4200</v>
          </cell>
          <cell r="H452" t="e">
            <v>#N/A</v>
          </cell>
          <cell r="K452" t="str">
            <v>Comp. P/U</v>
          </cell>
          <cell r="L452" t="str">
            <v>Std. Cab, Transferred to SF in Jan '06</v>
          </cell>
          <cell r="M452" t="str">
            <v>Pool Spare</v>
          </cell>
        </row>
        <row r="453">
          <cell r="A453">
            <v>574</v>
          </cell>
          <cell r="B453" t="str">
            <v>1FTYR10C9XPB82579</v>
          </cell>
          <cell r="C453" t="str">
            <v>GBC964</v>
          </cell>
          <cell r="D453">
            <v>1999</v>
          </cell>
          <cell r="E453" t="str">
            <v>Ford</v>
          </cell>
          <cell r="F453" t="str">
            <v>Ranger</v>
          </cell>
          <cell r="H453" t="e">
            <v>#N/A</v>
          </cell>
          <cell r="K453" t="str">
            <v>Comp. P/U</v>
          </cell>
          <cell r="L453" t="str">
            <v>Std. Cab, Transferred to SF in Mar '06</v>
          </cell>
          <cell r="M453" t="str">
            <v>I&amp;M Runner</v>
          </cell>
          <cell r="N453" t="str">
            <v>IM410</v>
          </cell>
          <cell r="O453" t="str">
            <v>I&amp;M Runner</v>
          </cell>
        </row>
        <row r="454">
          <cell r="A454">
            <v>575</v>
          </cell>
          <cell r="B454" t="str">
            <v>1FTYR10V4XUB86204</v>
          </cell>
          <cell r="C454" t="str">
            <v>GBC960</v>
          </cell>
          <cell r="D454">
            <v>1999</v>
          </cell>
          <cell r="E454" t="str">
            <v>Ford</v>
          </cell>
          <cell r="F454" t="str">
            <v>Ranger</v>
          </cell>
          <cell r="G454">
            <v>4740</v>
          </cell>
          <cell r="H454" t="e">
            <v>#N/A</v>
          </cell>
          <cell r="K454" t="str">
            <v>Comp. P/U</v>
          </cell>
          <cell r="L454" t="str">
            <v>Std. Cab, Transferred to SF in May '06</v>
          </cell>
          <cell r="M454" t="str">
            <v>I&amp;M Runner</v>
          </cell>
          <cell r="N454" t="str">
            <v>IM410</v>
          </cell>
          <cell r="O454" t="str">
            <v>I&amp;M Runner</v>
          </cell>
        </row>
        <row r="455">
          <cell r="A455">
            <v>576</v>
          </cell>
          <cell r="B455" t="str">
            <v>2G1WL52M3X9262778</v>
          </cell>
          <cell r="C455" t="str">
            <v>GBC916</v>
          </cell>
          <cell r="D455">
            <v>1999</v>
          </cell>
          <cell r="E455" t="str">
            <v>Chevrolet</v>
          </cell>
          <cell r="F455" t="str">
            <v>Lumina</v>
          </cell>
          <cell r="H455" t="e">
            <v>#N/A</v>
          </cell>
          <cell r="K455" t="str">
            <v>Automobile</v>
          </cell>
          <cell r="L455" t="str">
            <v>Transferred to SF in Apr '06, OUT OF SERVICE</v>
          </cell>
          <cell r="M455" t="str">
            <v>Pool Spare</v>
          </cell>
          <cell r="O455" t="str">
            <v>Pool Car</v>
          </cell>
        </row>
        <row r="456">
          <cell r="A456">
            <v>577</v>
          </cell>
          <cell r="B456" t="str">
            <v>19UUA66286A024142</v>
          </cell>
          <cell r="C456" t="str">
            <v>U159UE</v>
          </cell>
          <cell r="D456">
            <v>2006</v>
          </cell>
          <cell r="E456" t="str">
            <v>Acura</v>
          </cell>
          <cell r="F456" t="str">
            <v>TL</v>
          </cell>
          <cell r="H456" t="e">
            <v>#N/A</v>
          </cell>
          <cell r="K456" t="str">
            <v>Automobile</v>
          </cell>
          <cell r="M456" t="str">
            <v>CFO</v>
          </cell>
          <cell r="O456" t="str">
            <v>George Bachman</v>
          </cell>
        </row>
        <row r="457">
          <cell r="A457">
            <v>578</v>
          </cell>
          <cell r="B457" t="str">
            <v>1GNDS13S062113949</v>
          </cell>
          <cell r="C457" t="str">
            <v>B923US</v>
          </cell>
          <cell r="D457">
            <v>2006</v>
          </cell>
          <cell r="E457" t="str">
            <v>Chevrolet</v>
          </cell>
          <cell r="F457" t="str">
            <v>TrailBlazer</v>
          </cell>
          <cell r="G457">
            <v>5550</v>
          </cell>
          <cell r="H457" t="e">
            <v>#N/A</v>
          </cell>
          <cell r="K457" t="str">
            <v>SUV</v>
          </cell>
          <cell r="M457" t="str">
            <v>Corp Svcs Director</v>
          </cell>
          <cell r="O457" t="str">
            <v>Marc Schneidermann</v>
          </cell>
        </row>
        <row r="458">
          <cell r="A458">
            <v>589</v>
          </cell>
          <cell r="B458" t="str">
            <v>JTMZK33V276004472</v>
          </cell>
          <cell r="C458" t="str">
            <v>X255HD</v>
          </cell>
          <cell r="D458">
            <v>2007</v>
          </cell>
          <cell r="E458" t="str">
            <v>Toyota</v>
          </cell>
          <cell r="F458" t="str">
            <v>Rav4</v>
          </cell>
          <cell r="H458" t="e">
            <v>#N/A</v>
          </cell>
          <cell r="K458" t="str">
            <v>SUV</v>
          </cell>
          <cell r="M458" t="str">
            <v>Conservation Mgr</v>
          </cell>
          <cell r="O458" t="str">
            <v>Joe Eysie</v>
          </cell>
        </row>
        <row r="459">
          <cell r="A459">
            <v>590</v>
          </cell>
          <cell r="B459" t="str">
            <v>JTMZD33VX75042869</v>
          </cell>
          <cell r="C459" t="str">
            <v>F060TI</v>
          </cell>
          <cell r="D459">
            <v>2007</v>
          </cell>
          <cell r="E459" t="str">
            <v>Toyota</v>
          </cell>
          <cell r="F459" t="str">
            <v>Rav4</v>
          </cell>
          <cell r="H459" t="e">
            <v>#N/A</v>
          </cell>
          <cell r="K459" t="str">
            <v>SUV</v>
          </cell>
          <cell r="M459" t="str">
            <v>Conservation Rep</v>
          </cell>
          <cell r="O459" t="str">
            <v>Danielle Boone</v>
          </cell>
        </row>
        <row r="460">
          <cell r="A460">
            <v>592</v>
          </cell>
          <cell r="B460" t="str">
            <v>2SWUW11AX5S024569</v>
          </cell>
          <cell r="C460" t="str">
            <v>GBX377</v>
          </cell>
          <cell r="D460">
            <v>2005</v>
          </cell>
          <cell r="E460" t="str">
            <v>BlackRock</v>
          </cell>
          <cell r="F460" t="str">
            <v>8000HD</v>
          </cell>
          <cell r="G460">
            <v>2090</v>
          </cell>
          <cell r="H460" t="e">
            <v>#N/A</v>
          </cell>
          <cell r="K460" t="str">
            <v>Utility Trailer</v>
          </cell>
          <cell r="L460" t="str">
            <v>Transferred from WF - old #130</v>
          </cell>
          <cell r="M460" t="str">
            <v>Equipment Trailer</v>
          </cell>
          <cell r="N460" t="str">
            <v>WH410</v>
          </cell>
          <cell r="O460" t="str">
            <v>Equipment Trailer</v>
          </cell>
        </row>
        <row r="461">
          <cell r="A461">
            <v>603</v>
          </cell>
          <cell r="B461" t="str">
            <v>1FTYR14VOXPB25439</v>
          </cell>
          <cell r="C461" t="str">
            <v>GBC962</v>
          </cell>
          <cell r="D461">
            <v>1999</v>
          </cell>
          <cell r="E461" t="str">
            <v>Ford</v>
          </cell>
          <cell r="F461" t="str">
            <v>Ranger</v>
          </cell>
          <cell r="H461" t="e">
            <v>#N/A</v>
          </cell>
          <cell r="K461" t="str">
            <v>Comp. P/U</v>
          </cell>
          <cell r="L461" t="str">
            <v>Ext. Cab, Old CF 110</v>
          </cell>
          <cell r="M461" t="str">
            <v>Pool Spare</v>
          </cell>
          <cell r="O461" t="str">
            <v>Pool Spare</v>
          </cell>
        </row>
        <row r="462">
          <cell r="A462">
            <v>604</v>
          </cell>
          <cell r="B462" t="str">
            <v>1FDNX20L21EC74629</v>
          </cell>
          <cell r="C462" t="str">
            <v>GBF938</v>
          </cell>
          <cell r="D462">
            <v>2001</v>
          </cell>
          <cell r="E462" t="str">
            <v>Ford</v>
          </cell>
          <cell r="F462" t="str">
            <v>F250</v>
          </cell>
          <cell r="G462">
            <v>8800</v>
          </cell>
          <cell r="H462" t="e">
            <v>#N/A</v>
          </cell>
          <cell r="K462" t="str">
            <v>Pickup</v>
          </cell>
          <cell r="L462" t="str">
            <v>Old CF 121, OUT OF SERVICE</v>
          </cell>
          <cell r="M462" t="str">
            <v>Service</v>
          </cell>
        </row>
        <row r="463">
          <cell r="A463">
            <v>625</v>
          </cell>
          <cell r="B463" t="str">
            <v>1GKFC13J68R155059</v>
          </cell>
          <cell r="C463" t="str">
            <v>H479JJ</v>
          </cell>
          <cell r="D463">
            <v>2008</v>
          </cell>
          <cell r="E463" t="str">
            <v>GMC</v>
          </cell>
          <cell r="F463" t="str">
            <v>Yukon</v>
          </cell>
          <cell r="H463" t="e">
            <v>#N/A</v>
          </cell>
          <cell r="K463" t="str">
            <v>SUV</v>
          </cell>
          <cell r="L463" t="str">
            <v>Tag good thru 6/30/13               V8-G, XM #C2WJW0W7</v>
          </cell>
          <cell r="M463" t="str">
            <v>President</v>
          </cell>
          <cell r="N463" t="str">
            <v>MG713</v>
          </cell>
          <cell r="O463" t="str">
            <v>Jeff Householder</v>
          </cell>
        </row>
        <row r="464">
          <cell r="A464">
            <v>1722</v>
          </cell>
          <cell r="B464" t="str">
            <v>1GDT9C4C4FV513171</v>
          </cell>
          <cell r="C464" t="str">
            <v>GBP671</v>
          </cell>
          <cell r="D464">
            <v>1985</v>
          </cell>
          <cell r="E464" t="str">
            <v>GMC</v>
          </cell>
          <cell r="F464" t="str">
            <v>Brigadier</v>
          </cell>
          <cell r="G464">
            <v>50000</v>
          </cell>
          <cell r="H464" t="e">
            <v>#N/A</v>
          </cell>
          <cell r="K464" t="str">
            <v>Digger Derrick</v>
          </cell>
          <cell r="L464" t="str">
            <v>Deadlined</v>
          </cell>
          <cell r="M464" t="str">
            <v>SOLD 4/06</v>
          </cell>
        </row>
        <row r="465">
          <cell r="A465">
            <v>726</v>
          </cell>
          <cell r="B465" t="str">
            <v>1FDJF37H9NNB10115</v>
          </cell>
          <cell r="C465" t="str">
            <v>GBF917</v>
          </cell>
          <cell r="D465">
            <v>1992</v>
          </cell>
          <cell r="E465" t="str">
            <v>Ford</v>
          </cell>
          <cell r="F465" t="str">
            <v>F350</v>
          </cell>
          <cell r="G465">
            <v>10000</v>
          </cell>
          <cell r="H465" t="e">
            <v>#N/A</v>
          </cell>
          <cell r="K465" t="str">
            <v>Utility Body</v>
          </cell>
          <cell r="L465" t="str">
            <v>Old 493 from WPB - Sold 04/25/07</v>
          </cell>
        </row>
        <row r="466">
          <cell r="A466">
            <v>728</v>
          </cell>
          <cell r="B466" t="str">
            <v>1HTSDPPN4PH512298</v>
          </cell>
          <cell r="C466" t="str">
            <v>GBP671</v>
          </cell>
          <cell r="D466">
            <v>1993</v>
          </cell>
          <cell r="E466" t="str">
            <v>International</v>
          </cell>
          <cell r="F466">
            <v>4900</v>
          </cell>
          <cell r="G466">
            <v>31040</v>
          </cell>
          <cell r="H466" t="e">
            <v>#N/A</v>
          </cell>
          <cell r="K466" t="str">
            <v>Bucket</v>
          </cell>
          <cell r="L466" t="str">
            <v>Altec AM550, BEING REPLACED 7/10</v>
          </cell>
          <cell r="M466" t="str">
            <v>Bucket Truck</v>
          </cell>
          <cell r="O466" t="str">
            <v>Various Drivers</v>
          </cell>
        </row>
        <row r="467">
          <cell r="A467">
            <v>1729</v>
          </cell>
          <cell r="B467" t="str">
            <v>1FDKF37H4PNA86149</v>
          </cell>
          <cell r="C467" t="str">
            <v>GBF949</v>
          </cell>
          <cell r="D467">
            <v>1993</v>
          </cell>
          <cell r="E467" t="str">
            <v>Ford</v>
          </cell>
          <cell r="F467" t="str">
            <v>F350</v>
          </cell>
          <cell r="G467">
            <v>11000</v>
          </cell>
          <cell r="H467" t="e">
            <v>#N/A</v>
          </cell>
          <cell r="K467" t="str">
            <v>I&amp;M</v>
          </cell>
          <cell r="L467" t="str">
            <v>EH4004</v>
          </cell>
          <cell r="M467" t="str">
            <v>SOLD 10/05</v>
          </cell>
        </row>
        <row r="468">
          <cell r="A468">
            <v>737</v>
          </cell>
          <cell r="B468" t="str">
            <v>1GCCS1448S8258989</v>
          </cell>
          <cell r="C468" t="str">
            <v>GBP279</v>
          </cell>
          <cell r="D468">
            <v>1995</v>
          </cell>
          <cell r="E468" t="str">
            <v>Chevrolet</v>
          </cell>
          <cell r="F468" t="str">
            <v>S10</v>
          </cell>
          <cell r="G468">
            <v>4200</v>
          </cell>
          <cell r="H468" t="e">
            <v>#N/A</v>
          </cell>
          <cell r="K468" t="str">
            <v>Comp. P/U</v>
          </cell>
          <cell r="L468" t="str">
            <v>Std. Cab, SOLD 2/18/09</v>
          </cell>
          <cell r="M468" t="str">
            <v>Spare</v>
          </cell>
        </row>
        <row r="469">
          <cell r="A469">
            <v>1738</v>
          </cell>
          <cell r="B469" t="str">
            <v>1GCCS1442S8258387</v>
          </cell>
          <cell r="C469" t="str">
            <v>GBP312</v>
          </cell>
          <cell r="D469">
            <v>1995</v>
          </cell>
          <cell r="E469" t="str">
            <v>Chevrolet</v>
          </cell>
          <cell r="F469" t="str">
            <v>S10</v>
          </cell>
          <cell r="G469">
            <v>4200</v>
          </cell>
          <cell r="H469" t="e">
            <v>#N/A</v>
          </cell>
          <cell r="K469" t="str">
            <v>Comp. P/U</v>
          </cell>
          <cell r="L469" t="str">
            <v>Std. Cab - SOLD</v>
          </cell>
        </row>
        <row r="470">
          <cell r="A470">
            <v>1744</v>
          </cell>
          <cell r="B470" t="str">
            <v>JTEGF21A330081253</v>
          </cell>
          <cell r="C470" t="str">
            <v>F257FT</v>
          </cell>
          <cell r="D470">
            <v>2003</v>
          </cell>
          <cell r="E470" t="str">
            <v>Toyota</v>
          </cell>
          <cell r="F470" t="str">
            <v>Highlander</v>
          </cell>
          <cell r="G470">
            <v>4985</v>
          </cell>
          <cell r="H470" t="e">
            <v>#N/A</v>
          </cell>
          <cell r="K470" t="str">
            <v>SUV</v>
          </cell>
          <cell r="L470" t="str">
            <v>Lease, Turned in 12/06</v>
          </cell>
          <cell r="M470" t="str">
            <v>Neil Douglas / Conservation</v>
          </cell>
        </row>
        <row r="471">
          <cell r="A471">
            <v>745</v>
          </cell>
          <cell r="B471" t="str">
            <v>1FV6HJBA8VL828693</v>
          </cell>
          <cell r="C471" t="str">
            <v>GBF931</v>
          </cell>
          <cell r="D471">
            <v>1997</v>
          </cell>
          <cell r="E471" t="str">
            <v>Freightliner</v>
          </cell>
          <cell r="F471" t="str">
            <v>FL70</v>
          </cell>
          <cell r="G471">
            <v>31000</v>
          </cell>
          <cell r="H471" t="e">
            <v>#N/A</v>
          </cell>
          <cell r="K471" t="str">
            <v>Bucket</v>
          </cell>
          <cell r="L471" t="str">
            <v>SALE PENDING as of 11/08                Altec TA40</v>
          </cell>
          <cell r="M471" t="str">
            <v>Bucket Truck</v>
          </cell>
        </row>
        <row r="472">
          <cell r="A472">
            <v>750</v>
          </cell>
          <cell r="B472" t="str">
            <v>1G1ND52M9XY149423</v>
          </cell>
          <cell r="C472" t="str">
            <v>GBP339</v>
          </cell>
          <cell r="D472">
            <v>1999</v>
          </cell>
          <cell r="E472" t="str">
            <v>Chevrolet</v>
          </cell>
          <cell r="F472" t="str">
            <v>Malibu</v>
          </cell>
          <cell r="G472">
            <v>3988</v>
          </cell>
          <cell r="H472" t="e">
            <v>#N/A</v>
          </cell>
          <cell r="K472" t="str">
            <v>Sedan</v>
          </cell>
          <cell r="L472" t="str">
            <v>Shelton's old car</v>
          </cell>
          <cell r="M472" t="str">
            <v>SOLD 8/07</v>
          </cell>
        </row>
        <row r="473">
          <cell r="A473">
            <v>751</v>
          </cell>
          <cell r="B473" t="str">
            <v>1FTZX1720XNB03206</v>
          </cell>
          <cell r="C473" t="str">
            <v>F258FT</v>
          </cell>
          <cell r="D473">
            <v>1999</v>
          </cell>
          <cell r="E473" t="str">
            <v>Ford</v>
          </cell>
          <cell r="F473" t="str">
            <v>F150</v>
          </cell>
          <cell r="G473">
            <v>6000</v>
          </cell>
          <cell r="H473" t="e">
            <v>#N/A</v>
          </cell>
          <cell r="K473" t="str">
            <v>Pickup</v>
          </cell>
          <cell r="L473" t="str">
            <v>OUT OF SERVICE</v>
          </cell>
        </row>
        <row r="474">
          <cell r="A474">
            <v>752</v>
          </cell>
          <cell r="B474" t="str">
            <v>1GCCS1446XK176303</v>
          </cell>
          <cell r="C474" t="str">
            <v>GBP382</v>
          </cell>
          <cell r="D474">
            <v>1999</v>
          </cell>
          <cell r="E474" t="str">
            <v>Chevrolet</v>
          </cell>
          <cell r="F474" t="str">
            <v>S10</v>
          </cell>
          <cell r="G474">
            <v>4200</v>
          </cell>
          <cell r="H474" t="e">
            <v>#N/A</v>
          </cell>
          <cell r="K474" t="str">
            <v>Comp. P/U</v>
          </cell>
          <cell r="L474" t="str">
            <v>Std. Cab, SOLD 2/18/09</v>
          </cell>
          <cell r="M474" t="str">
            <v>Spare</v>
          </cell>
        </row>
        <row r="475">
          <cell r="A475">
            <v>756</v>
          </cell>
          <cell r="B475" t="str">
            <v>1FTZX1729YNC10935</v>
          </cell>
          <cell r="C475" t="str">
            <v>GBP445</v>
          </cell>
          <cell r="D475">
            <v>2000</v>
          </cell>
          <cell r="E475" t="str">
            <v>Ford</v>
          </cell>
          <cell r="F475" t="str">
            <v>F-150</v>
          </cell>
          <cell r="G475">
            <v>6000</v>
          </cell>
          <cell r="H475" t="e">
            <v>#N/A</v>
          </cell>
          <cell r="K475" t="str">
            <v>Pickup</v>
          </cell>
          <cell r="L475" t="str">
            <v>4.2L V6-G</v>
          </cell>
          <cell r="M475" t="str">
            <v>Engineering</v>
          </cell>
          <cell r="N475" t="str">
            <v> EN450</v>
          </cell>
          <cell r="O475" t="str">
            <v>Larry Montgomery</v>
          </cell>
        </row>
        <row r="476">
          <cell r="A476">
            <v>1759</v>
          </cell>
          <cell r="B476" t="str">
            <v>1GDJK34N1NE517352</v>
          </cell>
          <cell r="C476" t="str">
            <v>GBF922</v>
          </cell>
          <cell r="D476">
            <v>1991</v>
          </cell>
          <cell r="E476" t="str">
            <v>Chevy</v>
          </cell>
          <cell r="F476">
            <v>3500</v>
          </cell>
          <cell r="G476">
            <v>12000</v>
          </cell>
          <cell r="H476" t="e">
            <v>#N/A</v>
          </cell>
          <cell r="K476" t="str">
            <v>I&amp;M</v>
          </cell>
          <cell r="L476" t="str">
            <v>STI 4000 Crane, 1,200 lb Liftgate</v>
          </cell>
          <cell r="M476" t="str">
            <v>SOLD 10/05</v>
          </cell>
        </row>
        <row r="477">
          <cell r="A477">
            <v>1760</v>
          </cell>
          <cell r="B477" t="str">
            <v>SOLD</v>
          </cell>
          <cell r="D477">
            <v>1990</v>
          </cell>
          <cell r="E477" t="str">
            <v>Ford</v>
          </cell>
          <cell r="F477" t="str">
            <v>F800</v>
          </cell>
          <cell r="H477" t="e">
            <v>#N/A</v>
          </cell>
          <cell r="K477" t="str">
            <v>Bobtail</v>
          </cell>
          <cell r="L477" t="str">
            <v>Trans W. Ent 3000 s/n A2569</v>
          </cell>
          <cell r="M477" t="str">
            <v>SOLD (OLD 28)</v>
          </cell>
        </row>
        <row r="478">
          <cell r="A478">
            <v>761</v>
          </cell>
          <cell r="B478" t="str">
            <v>1GBJC34R2YF439364</v>
          </cell>
          <cell r="C478" t="str">
            <v>GBF916</v>
          </cell>
          <cell r="D478">
            <v>2000</v>
          </cell>
          <cell r="E478" t="str">
            <v>Chevy</v>
          </cell>
          <cell r="F478">
            <v>3500</v>
          </cell>
          <cell r="G478">
            <v>11000</v>
          </cell>
          <cell r="H478" t="e">
            <v>#N/A</v>
          </cell>
          <cell r="K478" t="str">
            <v>I&amp;M</v>
          </cell>
          <cell r="L478" t="str">
            <v>Crane, SOLD 2/17/09</v>
          </cell>
          <cell r="M478" t="str">
            <v>I&amp;M</v>
          </cell>
        </row>
        <row r="479">
          <cell r="A479">
            <v>764</v>
          </cell>
          <cell r="B479" t="str">
            <v>1FTYR10C81TA27293</v>
          </cell>
          <cell r="C479" t="str">
            <v>GBC972</v>
          </cell>
          <cell r="D479">
            <v>2001</v>
          </cell>
          <cell r="E479" t="str">
            <v>Ford</v>
          </cell>
          <cell r="F479" t="str">
            <v>Ranger</v>
          </cell>
          <cell r="G479">
            <v>4400</v>
          </cell>
          <cell r="H479" t="e">
            <v>#N/A</v>
          </cell>
          <cell r="K479" t="str">
            <v>Comp. P/U</v>
          </cell>
          <cell r="L479" t="str">
            <v>OUT OF SERVICE</v>
          </cell>
        </row>
        <row r="480">
          <cell r="A480">
            <v>765</v>
          </cell>
          <cell r="B480" t="str">
            <v>1FTYR10CX1TA27862</v>
          </cell>
          <cell r="C480" t="str">
            <v>GBC974</v>
          </cell>
          <cell r="D480">
            <v>2001</v>
          </cell>
          <cell r="E480" t="str">
            <v>Ford</v>
          </cell>
          <cell r="F480" t="str">
            <v>Ranger</v>
          </cell>
          <cell r="G480">
            <v>4400</v>
          </cell>
          <cell r="H480" t="e">
            <v>#N/A</v>
          </cell>
          <cell r="K480" t="str">
            <v>Comp. P/U</v>
          </cell>
          <cell r="L480" t="str">
            <v>I4-G</v>
          </cell>
          <cell r="M480" t="str">
            <v>Meter Reader</v>
          </cell>
          <cell r="N480" t="str">
            <v>CS452</v>
          </cell>
          <cell r="O480" t="str">
            <v>Jevon Brown</v>
          </cell>
        </row>
        <row r="481">
          <cell r="A481">
            <v>766</v>
          </cell>
          <cell r="B481" t="str">
            <v>1FTYR10C11TA27863</v>
          </cell>
          <cell r="C481" t="str">
            <v>GBC973</v>
          </cell>
          <cell r="D481">
            <v>2001</v>
          </cell>
          <cell r="E481" t="str">
            <v>Ford</v>
          </cell>
          <cell r="F481" t="str">
            <v>Ranger</v>
          </cell>
          <cell r="G481">
            <v>4400</v>
          </cell>
          <cell r="H481" t="e">
            <v>#N/A</v>
          </cell>
          <cell r="K481" t="str">
            <v>Comp. P/U</v>
          </cell>
          <cell r="L481" t="str">
            <v>I4-G</v>
          </cell>
          <cell r="M481" t="str">
            <v>Meter Reader</v>
          </cell>
          <cell r="N481" t="str">
            <v>CS452</v>
          </cell>
          <cell r="O481" t="str">
            <v>Mia Goins</v>
          </cell>
        </row>
        <row r="482">
          <cell r="A482">
            <v>769</v>
          </cell>
          <cell r="B482" t="str">
            <v>2FTZX17241CA24521</v>
          </cell>
          <cell r="C482" t="str">
            <v>GBC890</v>
          </cell>
          <cell r="D482">
            <v>2001</v>
          </cell>
          <cell r="E482" t="str">
            <v>Ford</v>
          </cell>
          <cell r="F482" t="str">
            <v>F150</v>
          </cell>
          <cell r="G482">
            <v>6000</v>
          </cell>
          <cell r="H482" t="e">
            <v>#N/A</v>
          </cell>
          <cell r="K482" t="str">
            <v>Pickup</v>
          </cell>
          <cell r="L482" t="str">
            <v>V8-G</v>
          </cell>
          <cell r="M482" t="str">
            <v>Fleet Specialist</v>
          </cell>
          <cell r="N482" t="str">
            <v> Retired</v>
          </cell>
          <cell r="O482" t="str">
            <v>Billy Tyler</v>
          </cell>
        </row>
        <row r="483">
          <cell r="A483">
            <v>775</v>
          </cell>
          <cell r="B483" t="str">
            <v>1G1ND52J916200248</v>
          </cell>
          <cell r="C483" t="str">
            <v>GBP312</v>
          </cell>
          <cell r="D483">
            <v>2001</v>
          </cell>
          <cell r="E483" t="str">
            <v>Chevrolet</v>
          </cell>
          <cell r="F483" t="str">
            <v>Malibu</v>
          </cell>
          <cell r="H483" t="e">
            <v>#N/A</v>
          </cell>
          <cell r="K483" t="str">
            <v>Sedan</v>
          </cell>
          <cell r="L483" t="str">
            <v>OUT OF SERVICE</v>
          </cell>
          <cell r="M483" t="str">
            <v>Safety Coordinator</v>
          </cell>
          <cell r="O483" t="str">
            <v>Tom Moen</v>
          </cell>
        </row>
        <row r="484">
          <cell r="A484">
            <v>779</v>
          </cell>
          <cell r="B484" t="str">
            <v>3B7HC12Y3VVM293790</v>
          </cell>
          <cell r="C484" t="str">
            <v>GBC989</v>
          </cell>
          <cell r="D484">
            <v>1998</v>
          </cell>
          <cell r="E484" t="str">
            <v>Dodge</v>
          </cell>
          <cell r="F484" t="str">
            <v>Ram1500</v>
          </cell>
          <cell r="G484">
            <v>6400</v>
          </cell>
          <cell r="H484" t="e">
            <v>#N/A</v>
          </cell>
          <cell r="K484" t="str">
            <v>Pickup</v>
          </cell>
          <cell r="L484" t="str">
            <v>OUT OF SERVICE, Ext. Cab</v>
          </cell>
          <cell r="M484" t="str">
            <v>Storeroom</v>
          </cell>
          <cell r="O484" t="str">
            <v>Roger Reed</v>
          </cell>
        </row>
        <row r="485">
          <cell r="A485" t="str">
            <v>1780 / 4</v>
          </cell>
          <cell r="B485" t="str">
            <v>SOLD</v>
          </cell>
          <cell r="D485">
            <v>1989</v>
          </cell>
          <cell r="E485" t="str">
            <v>Ford</v>
          </cell>
          <cell r="F485" t="str">
            <v>F800</v>
          </cell>
          <cell r="H485" t="e">
            <v>#N/A</v>
          </cell>
          <cell r="K485" t="str">
            <v>Bobtail</v>
          </cell>
          <cell r="L485" t="str">
            <v>Trans W. Ent 2600 s/n A2388</v>
          </cell>
          <cell r="M485" t="str">
            <v>SOLD</v>
          </cell>
        </row>
        <row r="486">
          <cell r="A486">
            <v>1782</v>
          </cell>
          <cell r="B486" t="str">
            <v>1FDKF37H5SNA33887</v>
          </cell>
          <cell r="C486" t="str">
            <v>G76ILE</v>
          </cell>
          <cell r="D486">
            <v>1995</v>
          </cell>
          <cell r="E486" t="str">
            <v>Ford</v>
          </cell>
          <cell r="F486" t="str">
            <v>F350</v>
          </cell>
          <cell r="G486">
            <v>11000</v>
          </cell>
          <cell r="H486" t="e">
            <v>#N/A</v>
          </cell>
          <cell r="K486" t="str">
            <v>Cyl Trk</v>
          </cell>
          <cell r="L486" t="str">
            <v>1,200lb Liftgate - SOLD</v>
          </cell>
        </row>
        <row r="487">
          <cell r="A487">
            <v>783</v>
          </cell>
          <cell r="B487" t="str">
            <v>1FDXF8283MVA12274</v>
          </cell>
          <cell r="C487" t="str">
            <v>N5150C</v>
          </cell>
          <cell r="D487">
            <v>1990</v>
          </cell>
          <cell r="E487" t="str">
            <v>Ford</v>
          </cell>
          <cell r="F487" t="str">
            <v>F800</v>
          </cell>
          <cell r="G487">
            <v>28040</v>
          </cell>
          <cell r="H487" t="e">
            <v>#N/A</v>
          </cell>
          <cell r="K487" t="str">
            <v>Bobtail</v>
          </cell>
          <cell r="L487" t="str">
            <v>Old 30 from SF, Trinity 3000 s/n 118466, NEW 429 ENGINE, 5-spd man, Air Brakes, Deadlined</v>
          </cell>
          <cell r="M487" t="str">
            <v>SOLD 10/07</v>
          </cell>
        </row>
        <row r="488">
          <cell r="A488">
            <v>788</v>
          </cell>
          <cell r="B488" t="str">
            <v>1FDXF708MVA14533</v>
          </cell>
          <cell r="C488" t="str">
            <v>GBF944</v>
          </cell>
          <cell r="D488">
            <v>1991</v>
          </cell>
          <cell r="E488" t="str">
            <v>Ford</v>
          </cell>
          <cell r="F488" t="str">
            <v>F700</v>
          </cell>
          <cell r="G488">
            <v>28040</v>
          </cell>
          <cell r="H488" t="e">
            <v>#N/A</v>
          </cell>
          <cell r="K488" t="str">
            <v>Bobtail</v>
          </cell>
          <cell r="L488" t="str">
            <v>Nat'l Butane Gas 2600 s/n 2806, AFV-LP</v>
          </cell>
          <cell r="M488" t="str">
            <v>Sold 7/07</v>
          </cell>
        </row>
        <row r="489">
          <cell r="A489">
            <v>794</v>
          </cell>
          <cell r="B489" t="str">
            <v>4T1BG22K2YU632237</v>
          </cell>
          <cell r="C489" t="str">
            <v>W397YD</v>
          </cell>
          <cell r="D489">
            <v>2000</v>
          </cell>
          <cell r="E489" t="str">
            <v>Toyota</v>
          </cell>
          <cell r="F489" t="str">
            <v>Camry</v>
          </cell>
          <cell r="G489">
            <v>4180</v>
          </cell>
          <cell r="H489" t="e">
            <v>#N/A</v>
          </cell>
          <cell r="K489" t="str">
            <v>Sedan</v>
          </cell>
          <cell r="L489" t="str">
            <v>OUT OF SERVICE</v>
          </cell>
        </row>
        <row r="490">
          <cell r="A490">
            <v>800</v>
          </cell>
          <cell r="B490" t="str">
            <v>1FDNF6075HVA62640</v>
          </cell>
          <cell r="C490" t="str">
            <v>GBC872</v>
          </cell>
          <cell r="D490">
            <v>1988</v>
          </cell>
          <cell r="E490" t="str">
            <v>Ford</v>
          </cell>
          <cell r="F490" t="str">
            <v>F600</v>
          </cell>
          <cell r="G490">
            <v>22000</v>
          </cell>
          <cell r="H490" t="e">
            <v>#N/A</v>
          </cell>
          <cell r="K490" t="str">
            <v>Bobtail</v>
          </cell>
          <cell r="L490" t="str">
            <v>Texas Weld (1973) 1650 s/n 68143, AFV-LP, Old WF 106</v>
          </cell>
          <cell r="M490" t="str">
            <v>SOLD 10/07</v>
          </cell>
        </row>
        <row r="491">
          <cell r="A491">
            <v>801</v>
          </cell>
          <cell r="B491" t="str">
            <v>1GNDS13S962148019</v>
          </cell>
          <cell r="C491" t="str">
            <v xml:space="preserve">S888YF </v>
          </cell>
          <cell r="D491">
            <v>2006</v>
          </cell>
          <cell r="E491" t="str">
            <v>Chevrolet</v>
          </cell>
          <cell r="F491" t="str">
            <v>TrailBlazer</v>
          </cell>
          <cell r="H491" t="e">
            <v>#N/A</v>
          </cell>
          <cell r="K491" t="str">
            <v>SUV</v>
          </cell>
          <cell r="L491" t="str">
            <v>Lease</v>
          </cell>
          <cell r="M491" t="str">
            <v>Conservation Rep</v>
          </cell>
        </row>
        <row r="492">
          <cell r="A492">
            <v>802</v>
          </cell>
          <cell r="B492" t="str">
            <v>1GTEC19J27Z609529</v>
          </cell>
          <cell r="C492" t="str">
            <v>GBF917</v>
          </cell>
          <cell r="D492">
            <v>2007</v>
          </cell>
          <cell r="E492" t="str">
            <v>GMC</v>
          </cell>
          <cell r="F492" t="str">
            <v>Sierra</v>
          </cell>
          <cell r="G492">
            <v>6800</v>
          </cell>
          <cell r="H492" t="e">
            <v>#N/A</v>
          </cell>
          <cell r="K492" t="str">
            <v>Pickup</v>
          </cell>
          <cell r="L492" t="str">
            <v>Ext. Cab, Sold 11/17/07</v>
          </cell>
          <cell r="M492" t="str">
            <v>Charles Shelton</v>
          </cell>
        </row>
        <row r="493">
          <cell r="A493">
            <v>808</v>
          </cell>
          <cell r="B493" t="str">
            <v>JTDKB20U093493627</v>
          </cell>
          <cell r="C493" t="str">
            <v>GDE198</v>
          </cell>
          <cell r="D493">
            <v>2009</v>
          </cell>
          <cell r="E493" t="str">
            <v>Toyota</v>
          </cell>
          <cell r="F493" t="str">
            <v>Prius</v>
          </cell>
          <cell r="H493" t="e">
            <v>#N/A</v>
          </cell>
          <cell r="K493" t="str">
            <v>Sedan</v>
          </cell>
          <cell r="L493" t="str">
            <v>Lease</v>
          </cell>
          <cell r="M493" t="str">
            <v>Conservation Rep</v>
          </cell>
          <cell r="N493" t="str">
            <v>MK412</v>
          </cell>
          <cell r="O493" t="str">
            <v>David Richardson</v>
          </cell>
        </row>
        <row r="494">
          <cell r="A494">
            <v>41929</v>
          </cell>
          <cell r="B494" t="str">
            <v>1GDM7H1J8PJ516321</v>
          </cell>
          <cell r="C494" t="str">
            <v>GBP665</v>
          </cell>
          <cell r="D494">
            <v>1993</v>
          </cell>
          <cell r="E494" t="str">
            <v>GMC</v>
          </cell>
          <cell r="G494">
            <v>31040</v>
          </cell>
          <cell r="H494" t="e">
            <v>#N/A</v>
          </cell>
          <cell r="K494" t="str">
            <v>Altec</v>
          </cell>
          <cell r="L494" t="str">
            <v>AA755 Bucket, Deadlined, Pending Disposition</v>
          </cell>
        </row>
        <row r="495">
          <cell r="A495">
            <v>933</v>
          </cell>
          <cell r="B495" t="str">
            <v>1FV6JBB0RL846071</v>
          </cell>
          <cell r="C495" t="str">
            <v>GBP667</v>
          </cell>
          <cell r="D495">
            <v>1994</v>
          </cell>
          <cell r="E495" t="str">
            <v>Freightliner</v>
          </cell>
          <cell r="F495" t="str">
            <v>FL80</v>
          </cell>
          <cell r="G495">
            <v>37000</v>
          </cell>
          <cell r="H495" t="e">
            <v>#N/A</v>
          </cell>
          <cell r="K495" t="str">
            <v>Altec</v>
          </cell>
          <cell r="L495" t="str">
            <v>D945 Derrick, Traded in 12/07</v>
          </cell>
        </row>
        <row r="496">
          <cell r="A496">
            <v>943</v>
          </cell>
          <cell r="B496" t="str">
            <v>1FV6HJAA6VH827658</v>
          </cell>
          <cell r="C496" t="str">
            <v>GBQ203</v>
          </cell>
          <cell r="D496">
            <v>1997</v>
          </cell>
          <cell r="E496" t="str">
            <v>Freightliner</v>
          </cell>
          <cell r="G496">
            <v>31000</v>
          </cell>
          <cell r="H496" t="e">
            <v>#N/A</v>
          </cell>
          <cell r="K496" t="str">
            <v>Altec</v>
          </cell>
          <cell r="L496" t="str">
            <v>TA41 Bucket, Traded in 10/31/08</v>
          </cell>
          <cell r="M496" t="str">
            <v>Bucket Truck</v>
          </cell>
        </row>
        <row r="497">
          <cell r="A497">
            <v>41944</v>
          </cell>
          <cell r="B497" t="str">
            <v>1GTEC14M6VZ520920</v>
          </cell>
          <cell r="C497" t="str">
            <v>GBC932</v>
          </cell>
          <cell r="D497">
            <v>1997</v>
          </cell>
          <cell r="E497" t="str">
            <v>GMC</v>
          </cell>
          <cell r="F497">
            <v>1500</v>
          </cell>
          <cell r="G497">
            <v>6100</v>
          </cell>
          <cell r="H497" t="e">
            <v>#N/A</v>
          </cell>
          <cell r="K497" t="str">
            <v>Pickup</v>
          </cell>
          <cell r="L497" t="str">
            <v>Std. Cab, SOLD</v>
          </cell>
        </row>
        <row r="498">
          <cell r="A498">
            <v>947</v>
          </cell>
          <cell r="B498" t="str">
            <v>4TANL42N5WZ136430</v>
          </cell>
          <cell r="C498" t="str">
            <v>GBC949</v>
          </cell>
          <cell r="D498">
            <v>1998</v>
          </cell>
          <cell r="E498" t="str">
            <v>Toyota</v>
          </cell>
          <cell r="F498" t="str">
            <v>Tacoma</v>
          </cell>
          <cell r="G498">
            <v>4250</v>
          </cell>
          <cell r="H498" t="e">
            <v>#N/A</v>
          </cell>
          <cell r="K498" t="str">
            <v>Pickup</v>
          </cell>
          <cell r="L498" t="str">
            <v>Std. Cab    SOLD 10/07</v>
          </cell>
          <cell r="M498" t="str">
            <v>Spare</v>
          </cell>
        </row>
        <row r="499">
          <cell r="A499">
            <v>949</v>
          </cell>
          <cell r="B499" t="str">
            <v>4TANL42N5XZ410341</v>
          </cell>
          <cell r="C499" t="str">
            <v>GBC957</v>
          </cell>
          <cell r="D499">
            <v>1998</v>
          </cell>
          <cell r="E499" t="str">
            <v>Toyota</v>
          </cell>
          <cell r="F499" t="str">
            <v>Tacoma</v>
          </cell>
          <cell r="G499">
            <v>4250</v>
          </cell>
          <cell r="H499" t="e">
            <v>#N/A</v>
          </cell>
          <cell r="K499" t="str">
            <v>Pickup</v>
          </cell>
          <cell r="L499" t="str">
            <v>Std. Cab, SOLD 7/9/09</v>
          </cell>
          <cell r="M499" t="str">
            <v>Spare</v>
          </cell>
          <cell r="O499" t="str">
            <v>Spare</v>
          </cell>
        </row>
        <row r="500">
          <cell r="A500">
            <v>956</v>
          </cell>
          <cell r="B500" t="str">
            <v>4TASN92N6YZ581160</v>
          </cell>
          <cell r="C500" t="str">
            <v>GBC908</v>
          </cell>
          <cell r="D500">
            <v>2000</v>
          </cell>
          <cell r="E500" t="str">
            <v>Toyota</v>
          </cell>
          <cell r="F500" t="str">
            <v>Tacoma</v>
          </cell>
          <cell r="G500">
            <v>5100</v>
          </cell>
          <cell r="H500" t="e">
            <v>#N/A</v>
          </cell>
          <cell r="K500" t="str">
            <v>Pickup</v>
          </cell>
          <cell r="L500" t="str">
            <v>Pre-Runner Ext. Cab</v>
          </cell>
          <cell r="M500" t="str">
            <v>Flag Truck</v>
          </cell>
          <cell r="N500" t="str">
            <v>EL441</v>
          </cell>
          <cell r="O500" t="str">
            <v>James Ussery</v>
          </cell>
        </row>
        <row r="501">
          <cell r="A501">
            <v>959</v>
          </cell>
          <cell r="B501" t="str">
            <v>5TBJN32131S130164</v>
          </cell>
          <cell r="C501" t="str">
            <v>GBC874</v>
          </cell>
          <cell r="D501">
            <v>2001</v>
          </cell>
          <cell r="E501" t="str">
            <v>Toyota</v>
          </cell>
          <cell r="F501" t="str">
            <v>Tundra</v>
          </cell>
          <cell r="G501">
            <v>5500</v>
          </cell>
          <cell r="H501" t="e">
            <v>#N/A</v>
          </cell>
          <cell r="K501" t="str">
            <v>Pickup</v>
          </cell>
          <cell r="L501" t="str">
            <v>Std. Cab</v>
          </cell>
          <cell r="M501" t="str">
            <v>Spare</v>
          </cell>
          <cell r="N501" t="str">
            <v>WH440</v>
          </cell>
          <cell r="O501" t="str">
            <v>Unassigned</v>
          </cell>
        </row>
        <row r="502">
          <cell r="A502">
            <v>960</v>
          </cell>
          <cell r="B502" t="str">
            <v>5TBJN32121S166539</v>
          </cell>
          <cell r="C502" t="str">
            <v>GBC875</v>
          </cell>
          <cell r="D502">
            <v>2001</v>
          </cell>
          <cell r="E502" t="str">
            <v>Toyota</v>
          </cell>
          <cell r="F502" t="str">
            <v>Tundra</v>
          </cell>
          <cell r="G502">
            <v>5500</v>
          </cell>
          <cell r="H502" t="e">
            <v>#N/A</v>
          </cell>
          <cell r="K502" t="str">
            <v>Pickup</v>
          </cell>
          <cell r="L502" t="str">
            <v>Std. Cab</v>
          </cell>
          <cell r="M502" t="str">
            <v>Service Supv</v>
          </cell>
          <cell r="N502" t="str">
            <v>EL442</v>
          </cell>
          <cell r="O502" t="str">
            <v>Lynwood Tanner</v>
          </cell>
        </row>
        <row r="503">
          <cell r="A503">
            <v>961</v>
          </cell>
          <cell r="B503" t="str">
            <v>1FVABUAKO1HJ77582</v>
          </cell>
          <cell r="C503" t="str">
            <v>GBP668</v>
          </cell>
          <cell r="D503">
            <v>2001</v>
          </cell>
          <cell r="E503" t="str">
            <v>Freightliner</v>
          </cell>
          <cell r="F503" t="str">
            <v>FL70</v>
          </cell>
          <cell r="G503">
            <v>35000</v>
          </cell>
          <cell r="H503" t="e">
            <v>#N/A</v>
          </cell>
          <cell r="K503" t="str">
            <v>Altec</v>
          </cell>
          <cell r="L503" t="str">
            <v>TA41M Bucket</v>
          </cell>
          <cell r="M503" t="str">
            <v>Bucket Truck</v>
          </cell>
          <cell r="O503" t="str">
            <v>Not Assigned</v>
          </cell>
        </row>
        <row r="504">
          <cell r="A504">
            <v>41964</v>
          </cell>
          <cell r="B504" t="str">
            <v>JTEGF21A130081431</v>
          </cell>
          <cell r="C504" t="str">
            <v>F258FT</v>
          </cell>
          <cell r="D504">
            <v>2003</v>
          </cell>
          <cell r="E504" t="str">
            <v>Toyota</v>
          </cell>
          <cell r="F504" t="str">
            <v>Highlander</v>
          </cell>
          <cell r="G504">
            <v>4985</v>
          </cell>
          <cell r="H504" t="e">
            <v>#N/A</v>
          </cell>
          <cell r="K504" t="str">
            <v>SUV</v>
          </cell>
          <cell r="L504" t="str">
            <v>Lease, Turned in 12/06</v>
          </cell>
          <cell r="M504" t="str">
            <v>Tammy Dean / Conservation</v>
          </cell>
        </row>
        <row r="505">
          <cell r="A505">
            <v>973</v>
          </cell>
          <cell r="B505" t="str">
            <v>2G1WF55EO29316977</v>
          </cell>
          <cell r="C505" t="str">
            <v>F908HF</v>
          </cell>
          <cell r="D505">
            <v>2002</v>
          </cell>
          <cell r="E505" t="str">
            <v>Chevrolet</v>
          </cell>
          <cell r="F505" t="str">
            <v>Impala</v>
          </cell>
          <cell r="G505">
            <v>4560</v>
          </cell>
          <cell r="H505" t="e">
            <v>#N/A</v>
          </cell>
          <cell r="K505" t="str">
            <v>Sedan</v>
          </cell>
          <cell r="M505" t="str">
            <v>Spare</v>
          </cell>
          <cell r="N505" t="str">
            <v>WH440</v>
          </cell>
          <cell r="O505" t="str">
            <v>Unassigned</v>
          </cell>
        </row>
        <row r="506">
          <cell r="A506">
            <v>976</v>
          </cell>
          <cell r="B506" t="str">
            <v>1GNDS13SX62103588</v>
          </cell>
          <cell r="C506" t="str">
            <v xml:space="preserve">S889YF </v>
          </cell>
          <cell r="D506">
            <v>2006</v>
          </cell>
          <cell r="E506" t="str">
            <v>Chevrolet</v>
          </cell>
          <cell r="F506" t="str">
            <v>TrailBlazer</v>
          </cell>
          <cell r="H506" t="e">
            <v>#N/A</v>
          </cell>
          <cell r="K506" t="str">
            <v>SUV</v>
          </cell>
          <cell r="L506" t="str">
            <v>Lease</v>
          </cell>
          <cell r="M506" t="str">
            <v>Conservation Rep</v>
          </cell>
        </row>
        <row r="507">
          <cell r="A507" t="str">
            <v>CT-0285</v>
          </cell>
          <cell r="B507" t="str">
            <v>1GCCS19W928106598</v>
          </cell>
          <cell r="D507">
            <v>2002</v>
          </cell>
          <cell r="E507" t="str">
            <v>Chevrolet</v>
          </cell>
          <cell r="F507" t="str">
            <v>S-10</v>
          </cell>
          <cell r="H507" t="e">
            <v>#N/A</v>
          </cell>
        </row>
        <row r="508">
          <cell r="A508" t="str">
            <v>OT-0380</v>
          </cell>
          <cell r="B508" t="str">
            <v>1GCC519XX38161104</v>
          </cell>
          <cell r="D508">
            <v>2003</v>
          </cell>
          <cell r="E508" t="str">
            <v>Chevrolet</v>
          </cell>
          <cell r="F508" t="str">
            <v>S-10</v>
          </cell>
          <cell r="H508" t="e">
            <v>#N/A</v>
          </cell>
        </row>
        <row r="509">
          <cell r="A509" t="str">
            <v>OT-0485</v>
          </cell>
          <cell r="B509" t="str">
            <v>1GCDT196548102861</v>
          </cell>
          <cell r="D509">
            <v>2004</v>
          </cell>
          <cell r="E509" t="str">
            <v>Chevrolet</v>
          </cell>
          <cell r="F509" t="str">
            <v>Colorado</v>
          </cell>
          <cell r="H509" t="e">
            <v>#N/A</v>
          </cell>
        </row>
        <row r="510">
          <cell r="A510" t="str">
            <v>OT-0586</v>
          </cell>
          <cell r="B510" t="str">
            <v>1GCDT196958264820</v>
          </cell>
          <cell r="D510">
            <v>2005</v>
          </cell>
          <cell r="E510" t="str">
            <v>Chevrolet</v>
          </cell>
          <cell r="F510" t="str">
            <v>Colorado</v>
          </cell>
          <cell r="H510" t="e">
            <v>#N/A</v>
          </cell>
        </row>
        <row r="511">
          <cell r="A511" t="str">
            <v>CT-0585</v>
          </cell>
          <cell r="B511" t="str">
            <v>1GCGG25V851183031</v>
          </cell>
          <cell r="D511">
            <v>2005</v>
          </cell>
          <cell r="E511" t="str">
            <v>Chevrolet</v>
          </cell>
          <cell r="F511" t="str">
            <v>Express</v>
          </cell>
          <cell r="H511" t="e">
            <v>#N/A</v>
          </cell>
        </row>
        <row r="512">
          <cell r="A512" t="str">
            <v>AM-0581</v>
          </cell>
          <cell r="B512" t="str">
            <v>1GCEC19Z85Z250982</v>
          </cell>
          <cell r="D512">
            <v>2005</v>
          </cell>
          <cell r="E512" t="str">
            <v>Chevrolet</v>
          </cell>
          <cell r="F512" t="str">
            <v>Silverado</v>
          </cell>
          <cell r="H512" t="e">
            <v>#N/A</v>
          </cell>
        </row>
        <row r="513">
          <cell r="A513" t="str">
            <v>ST-0003</v>
          </cell>
          <cell r="B513" t="str">
            <v>1GCGC34R4YR139443</v>
          </cell>
          <cell r="D513">
            <v>2000</v>
          </cell>
          <cell r="E513" t="str">
            <v>Chevrolet</v>
          </cell>
          <cell r="F513">
            <v>3500</v>
          </cell>
          <cell r="H513" t="e">
            <v>#N/A</v>
          </cell>
          <cell r="L513" t="str">
            <v>1-Ton Truck</v>
          </cell>
        </row>
        <row r="514">
          <cell r="A514" t="str">
            <v>AM-0580</v>
          </cell>
          <cell r="B514" t="str">
            <v>1G4HP52K4183389</v>
          </cell>
          <cell r="D514">
            <v>2005</v>
          </cell>
          <cell r="E514" t="str">
            <v>Buick</v>
          </cell>
          <cell r="F514" t="str">
            <v>LeSabre</v>
          </cell>
          <cell r="H51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DERAN\init_department\Accounting\Tax\2018\2018%20Regulatory\FPU%20Requests\FT\2018%20Q1ADIT%20Activity%20OTP%20FT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192.682041898152" createdVersion="5" refreshedVersion="5" minRefreshableVersion="3" recordCount="356">
  <cacheSource type="worksheet">
    <worksheetSource ref="A1:Q400" sheet="DATA-Reg Liab"/>
  </cacheSource>
  <cacheFields count="17">
    <cacheField name="Journal_Type" numFmtId="49">
      <sharedItems containsBlank="1"/>
    </cacheField>
    <cacheField name="Originating_Org" numFmtId="49">
      <sharedItems containsBlank="1"/>
    </cacheField>
    <cacheField name="Journal_Number" numFmtId="49">
      <sharedItems containsBlank="1"/>
    </cacheField>
    <cacheField name="Account_Code" numFmtId="49">
      <sharedItems containsBlank="1"/>
    </cacheField>
    <cacheField name="Seg1_Code" numFmtId="49">
      <sharedItems containsBlank="1" count="12">
        <s v="CF00"/>
        <s v="DE00"/>
        <s v="ES00"/>
        <s v="FE00"/>
        <s v="FN00"/>
        <s v="FT00"/>
        <s v="MD00"/>
        <s v="FC00"/>
        <s v="WC00"/>
        <s v="FI00"/>
        <s v="EL00"/>
        <m/>
      </sharedItems>
    </cacheField>
    <cacheField name="Seg2_Code" numFmtId="49">
      <sharedItems containsBlank="1"/>
    </cacheField>
    <cacheField name="Seg3_Code" numFmtId="49">
      <sharedItems containsBlank="1"/>
    </cacheField>
    <cacheField name="Seg4_Code" numFmtId="49">
      <sharedItems containsBlank="1" count="3">
        <s v="254N"/>
        <s v="254P"/>
        <m/>
      </sharedItems>
    </cacheField>
    <cacheField name="Reference_Code" numFmtId="49">
      <sharedItems containsBlank="1"/>
    </cacheField>
    <cacheField name="Amount" numFmtId="165">
      <sharedItems containsString="0" containsBlank="1" containsNumber="1" containsInteger="1" minValue="-23323670" maxValue="9529746"/>
    </cacheField>
    <cacheField name="Description" numFmtId="49">
      <sharedItems containsBlank="1"/>
    </cacheField>
    <cacheField name="Vendor_Name" numFmtId="49">
      <sharedItems containsBlank="1"/>
    </cacheField>
    <cacheField name="Document_1" numFmtId="49">
      <sharedItems containsBlank="1"/>
    </cacheField>
    <cacheField name="Document_2" numFmtId="49">
      <sharedItems containsBlank="1"/>
    </cacheField>
    <cacheField name="Apply_Date" numFmtId="164">
      <sharedItems containsNonDate="0" containsDate="1" containsString="0" containsBlank="1" minDate="2017-12-31T00:00:00" maxDate="2018-03-01T00:00:00" count="3">
        <d v="2017-12-31T00:00:00"/>
        <d v="2018-02-28T00:00:00"/>
        <m/>
      </sharedItems>
    </cacheField>
    <cacheField name="Posted_Date" numFmtId="164">
      <sharedItems containsNonDate="0" containsDate="1" containsString="0" containsBlank="1" minDate="2018-01-31T00:00:00" maxDate="2018-03-15T00:00:00"/>
    </cacheField>
    <cacheField name="Posted_Status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evin Staudt" refreshedDate="43194.33233391204" createdVersion="5" refreshedVersion="5" minRefreshableVersion="3" recordCount="181">
  <cacheSource type="worksheet">
    <worksheetSource ref="A1:Q2500" sheet="DATA"/>
  </cacheSource>
  <cacheFields count="17">
    <cacheField name="Journal_Type" numFmtId="49">
      <sharedItems containsBlank="1" count="19">
        <s v="TX"/>
        <s v="TX-TU"/>
        <s v="WO"/>
        <s v="TX-SPCL"/>
        <m/>
        <s v="MD-ACCR" u="1"/>
        <s v="ADJ" u="1"/>
        <s v="PRIOR" u="1"/>
        <s v="MD-TX" u="1"/>
        <s v="OFFSYS" u="1"/>
        <s v="MD-ADJ" u="1"/>
        <s v="GJ" u="1"/>
        <s v="IC60" u="1"/>
        <s v="PLANT" u="1"/>
        <s v="MP-TX" u="1"/>
        <s v="MD-TXTU" u="1"/>
        <s v="TX-CLR" u="1"/>
        <s v="MD-GJ" u="1"/>
        <s v="PLANTTFR" u="1"/>
      </sharedItems>
    </cacheField>
    <cacheField name="Originating_Org" numFmtId="49">
      <sharedItems containsBlank="1"/>
    </cacheField>
    <cacheField name="Journal_Number" numFmtId="49">
      <sharedItems containsBlank="1"/>
    </cacheField>
    <cacheField name="Account_Code" numFmtId="49">
      <sharedItems containsBlank="1"/>
    </cacheField>
    <cacheField name="Seg1_Code" numFmtId="49">
      <sharedItems containsBlank="1" count="10">
        <s v="FT00"/>
        <m/>
        <s v="FE44" u="1"/>
        <s v="FN43" u="1"/>
        <s v="FN00" u="1"/>
        <s v="WC00" u="1"/>
        <s v="FE00" u="1"/>
        <s v="FN41" u="1"/>
        <s v="MD00" u="1"/>
        <s v="FE45" u="1"/>
      </sharedItems>
    </cacheField>
    <cacheField name="Seg2_Code" numFmtId="49">
      <sharedItems containsBlank="1"/>
    </cacheField>
    <cacheField name="Seg3_Code" numFmtId="49">
      <sharedItems containsBlank="1" count="40">
        <s v="25DP"/>
        <s v="25AM"/>
        <s v="25PG"/>
        <s v="25BN"/>
        <s v="25BD"/>
        <s v="25ID"/>
        <s v="25CN"/>
        <s v="25RE"/>
        <s v="25SL"/>
        <s v="25SI"/>
        <s v="2500"/>
        <s v="25TX"/>
        <s v="25RT"/>
        <s v="25SR"/>
        <m/>
        <s v="25EN" u="1"/>
        <s v="25CC" u="1"/>
        <s v="25RG" u="1"/>
        <s v="25UR" u="1"/>
        <s v="25WR" u="1"/>
        <s v="25AA" u="1"/>
        <s v="25RP" u="1"/>
        <s v="25MC" u="1"/>
        <s v="25PN" u="1"/>
        <s v="25RD" u="1"/>
        <s v="25SD" u="1"/>
        <s v="25IA" u="1"/>
        <s v="25PC" u="1"/>
        <s v="25RC" u="1"/>
        <s v="25IT" u="1"/>
        <s v="25MK" u="1"/>
        <s v="25LT" u="1"/>
        <s v="25SV" u="1"/>
        <s v="252L" u="1"/>
        <s v="25AF" u="1"/>
        <s v="25VA" u="1"/>
        <s v="25MR" u="1"/>
        <s v="25GP" u="1"/>
        <s v="25OH" u="1"/>
        <s v="25PR" u="1"/>
      </sharedItems>
    </cacheField>
    <cacheField name="Seg4_Code" numFmtId="49">
      <sharedItems containsBlank="1"/>
    </cacheField>
    <cacheField name="Reference_Code" numFmtId="49">
      <sharedItems containsBlank="1"/>
    </cacheField>
    <cacheField name="Amount" numFmtId="165">
      <sharedItems containsString="0" containsBlank="1" containsNumber="1" containsInteger="1" minValue="-53423" maxValue="79123"/>
    </cacheField>
    <cacheField name="Description" numFmtId="49">
      <sharedItems containsBlank="1" count="325">
        <s v="Record ADIT Depr Q1 2014"/>
        <s v="REVERSE 1Q ADIT"/>
        <s v="Record ADIT Depr Q2 2014"/>
        <s v="Record ADIT Depr Q3 2014"/>
        <s v="REVERSE Q2 ADIT"/>
        <s v="FPU ADIT Amortization-PRA"/>
        <s v="FL tax tup -  2013"/>
        <s v="ADIT-Amortization"/>
        <s v="ADIT-Purchased Gas Costs"/>
        <s v="Reverse ADIT Q3  2014"/>
        <s v="ADIT-Short-term Bonus (IPP)"/>
        <s v="ADIT-Bad Debts"/>
        <s v="ADIT-Depreciation"/>
        <s v="ADIT-Reserve for Insurance Deductibles"/>
        <s v="ADIT-Conservation"/>
        <s v="ADIT-Cost of Removal"/>
        <s v="Record ADIT Amortization Q1 2015"/>
        <s v="Record ADIT IPP Q1 2015"/>
        <s v="Record ADIT Depr Q1 2015"/>
        <s v="Record ADIT PGC Q1 2015"/>
        <s v="Record ADIT Cost Cons. Q1 2015"/>
        <s v="REVERSE Q1 ADIT 2015"/>
        <s v="Record ADIT Amortization Q2 2015"/>
        <s v="Record ADIT Depr Q2 2015"/>
        <s v="Record ADIT PGC Q2 2015"/>
        <s v="Record ADIT Cost Cons. Q2 2015"/>
        <s v="Record ADIT IPP Q2 2015"/>
        <s v="Record ADIT Amortization Q3 2015"/>
        <s v="Reverse Prior Q2 ADIT"/>
        <s v="Record ADIT Cost Cons. Q3 2015"/>
        <s v="Record ADIT PGC Q3 2015"/>
        <s v="Record ADIT IPP Q3 2015"/>
        <s v="Record ADIT Depr Q3 2015"/>
        <s v="Reverse Q3 ADIT"/>
        <s v="ADIT-Customer Based Intangibles"/>
        <s v="FT ADIT Asset G/L - PRA"/>
        <s v="FT ADIT Depreciation - PRA"/>
        <s v="FT State-FL Fed Benefit PRA"/>
        <s v="FT ADIT Cost of Removal - PRA"/>
        <s v="FT ADIT Repairs - PRA"/>
        <s v="FT ADIT NOL - PRA"/>
        <s v="Q1 ADIT RECLASS"/>
        <s v="Reverse Q1 ADIT Reclass"/>
        <s v="ADIT-Long-term Bonus"/>
        <s v="Diff. Accr vs. 281G adj at method change"/>
        <s v="write off, misc diff due to $200 trans"/>
        <s v="misc, investigated &amp; written off"/>
        <s v="Correct JE#2 - wrong sign used"/>
        <s v="difference investigated &amp; written off"/>
        <s v="ADIT-Repairs"/>
        <s v="Reverse P/Y AJE - signs mixed up"/>
        <s v="Write-off Misc difference"/>
        <s v="Reverse Q1 ADIT"/>
        <s v="ADIT-ADIT Reclass"/>
        <s v="Reverse Q3 ADIT Reclass"/>
        <s v="ADIT-Protected Gross-up"/>
        <s v="ADIT-Self Insurance (Non-Current)"/>
        <s v="ADIT-UnProtected Plant Gross-up"/>
        <s v="ADIT-UnProtected NonPlant Gross-up"/>
        <s v="ADIT Excs Def SERP-Reg Gross Up"/>
        <s v="Recl YE ADIT-LT Cash"/>
        <s v="Recl YE ADIT-ST Cash"/>
        <s v="Recl YE ADIT-LT Stock"/>
        <s v="Recl YE ADIT-R Trust"/>
        <s v="ADIT Excs Def ST Cash-Reg Gross Up"/>
        <s v="ADIT Excs Def LT Stock-Reg Gross Up"/>
        <s v="ADIT Excs Def LT Cash-Reg Gross Up"/>
        <s v="Recl YE ADIT-SERP"/>
        <s v="ADIT Excs Def R Trust-Reg Gross Up"/>
        <m/>
        <s v="FPU Jan Activity" u="1"/>
        <s v="FL tax tup -  2014" u="1"/>
        <s v="Reverse  Decoupling Q3 2014" u="1"/>
        <s v="P&amp;A" u="1"/>
        <s v="ADIT-ADIT Reg Asset" u="1"/>
        <s v="Reclass DIT balances" u="1"/>
        <s v="Decoupling Q3 2015" u="1"/>
        <s v="FN DEC 2009 Fed Tax True Up" u="1"/>
        <s v="3rd Qtr Est DIT PGC" u="1"/>
        <s v="Record Decoupling 2012" u="1"/>
        <s v="3rd Qtr Est DIT Depr" u="1"/>
        <s v="Gross up Reg Asset balance for tax" u="1"/>
        <s v="Input Batch from PC Upload" u="1"/>
        <s v="YEAR END TAX ACCRUAL ADIT" u="1"/>
        <s v="Fed NOL reclass to DIT" u="1"/>
        <s v="3Q Estimated DIT" u="1"/>
        <s v="Rev Record Decoupling Q2 2013" u="1"/>
        <s v="Rev - Record ADIT PGC Q1 2013" u="1"/>
        <s v="Activity-Deferred taxes" u="1"/>
        <s v="PRA - Asset Gain/Loss" u="1"/>
        <s v="FPU 2006 AMENDED" u="1"/>
        <s v="LIBERALIZED DEPRECIATION-STATE" u="1"/>
        <s v="Record Decoupling 6/2012" u="1"/>
        <s v="ADIT-Natural Gas Odorizer" u="1"/>
        <s v="Reversal of JRNL 72881" u="1"/>
        <s v="TX TRU UP 2010 FL DECOUPLE" u="1"/>
        <s v="TX TRU UP 2011 FL DECOUPLE" u="1"/>
        <s v="FE ADIT Depreciation - PRA" u="1"/>
        <s v="Expense ADIT Acquis Adj Fed Rate to 35%" u="1"/>
        <s v="ADIT-State NOL" u="1"/>
        <s v="Decoupling True Up" u="1"/>
        <s v="Reclass between Business Units" u="1"/>
        <s v="-ADIT- Depreciation" u="1"/>
        <s v="YE TAX ACCRUAL 2011" u="1"/>
        <s v="ADIT-Property LT" u="1"/>
        <s v="ADIT-Grip Over-Recoveries" u="1"/>
        <s v="Decoupling Bonus Addition 2010" u="1"/>
        <s v="Record ADIT Depr 3Q 2012" u="1"/>
        <s v="Reverse Decoupling Q1 2013" u="1"/>
        <s v="ADIT-Pension" u="1"/>
        <s v="Record Decoupling 9/2012" u="1"/>
        <s v="FN ADIT Reserve Insurance Deduct - PRA" u="1"/>
        <s v="FE Oct 2009 Fed Tax True Up" u="1"/>
        <s v="Rev Fed NOL reclass to DIT" u="1"/>
        <s v="Record ADIT PGC Q1 2013" u="1"/>
        <s v="ADIT-Reclass NOL" u="1"/>
        <s v="Reclass 25DP.05 to 25RE" u="1"/>
        <s v="Record ADIT Cost Cons. Q2 2014" u="1"/>
        <s v="Reverse NOL RECLASS" u="1"/>
        <s v="ITC Amortization" u="1"/>
        <s v="Reversal of JRNL 68522" u="1"/>
        <s v="Record ADIT PGC Q1 2014" u="1"/>
        <s v="Record ADIT PGC Q2 2014" u="1"/>
        <s v="Record ADIT PGC Q3 2014" u="1"/>
        <s v="ADIT-Piping and Conversion" u="1"/>
        <s v="Decoupling Bonus 2010 YTD Amort TU" u="1"/>
        <s v="REVERSE 1Q DECOUPLING" u="1"/>
        <s v="Reverse Q3 Decoupling" u="1"/>
        <s v="ITC Amortizaton" u="1"/>
        <s v="FE ADIT NOL - PRA" u="1"/>
        <s v="ADIT-Storm Reserve" u="1"/>
        <s v="FE ADIT Asset G/L - PRA" u="1"/>
        <s v="Transfer Meters and Regulators" u="1"/>
        <s v="Amortize Merger Costs ADIT" u="1"/>
        <s v="Amort reg liab" u="1"/>
        <s v="Rev Record ADIT Depr Q1 &amp; Q2 2013" u="1"/>
        <s v="ADIT-Excess Deferred" u="1"/>
        <s v="True Up ADIT Acquis Adj Fed Rate to 35%" u="1"/>
        <s v="Rev - Record ADIT Depr Q1 2013" u="1"/>
        <s v="decoupling aep bare steel adj" u="1"/>
        <s v="ADIT-Rate Refund/Rate case" u="1"/>
        <s v="ADIT-Gross up" u="1"/>
        <s v="Amortize Regulatory Liability" u="1"/>
        <s v="FPU DIT RECLASSES" u="1"/>
        <s v="Record ADIT IPP Q1 2013" u="1"/>
        <s v="Adj Decoupling" u="1"/>
        <s v="Record ADIT IPP Q3 2013" u="1"/>
        <s v="-ADIT- Bad Debt" u="1"/>
        <s v="Revised Decoupling Q1 2015" u="1"/>
        <s v="Rev - Record ADIT IPP Q1 2013" u="1"/>
        <s v="state true up pre-merger FN" u="1"/>
        <s v="Record ADIT IPP Q1 2014" u="1"/>
        <s v="Record ADIT IPP Q2 2014" u="1"/>
        <s v="Record ADIT IPP Q3 2014" u="1"/>
        <s v="Acquis adj-Fed Rate to 35%" u="1"/>
        <s v="ADIT-GRIP" u="1"/>
        <s v="Reverse 2012 Decoupling" u="1"/>
        <s v="FN ADIT Depreciation - PRA" u="1"/>
        <s v="1st Qtr EST DIT Depr" u="1"/>
        <s v="ITC AMORTIZATION DEC" u="1"/>
        <s v="ADIT-Merger cost amortization" u="1"/>
        <s v="reclass step up to gw" u="1"/>
        <s v="FE ADIT CIAC - PRA" u="1"/>
        <s v="Reclass 25__ ADIT to FE00 FF00 FN0" u="1"/>
        <s v="Record 2011 State Decoupling" u="1"/>
        <s v="Record 2013 State Decoupling" u="1"/>
        <s v="Record Decoupling Q1 2015" u="1"/>
        <s v="FPU ADIT Asset Gain/Loss-PRA" u="1"/>
        <s v="Record ADIT Cost Cons. Q1 &amp; Q2 2013" u="1"/>
        <s v="Reverse Amortize Regulatory Liability" u="1"/>
        <s v="rate adj OTP" u="1"/>
        <s v="Record Decoupling Q2 2014" u="1"/>
        <s v="Record Decoupling Q1 2013" u="1"/>
        <s v="FE Accrual to return diff - depr" u="1"/>
        <s v="Record Decoupling Q3 2013" u="1"/>
        <s v="FN Oct 2009 Fed Tax True Up" u="1"/>
        <s v="ADIT-Asset Gain/ Loss" u="1"/>
        <s v="ADIT-Purchased Gas/Power Costs" u="1"/>
        <s v="Reversal of JRNL 86018" u="1"/>
        <s v="Reversal of JRNL 86019" u="1"/>
        <s v="Accrue ITC Annual Amount" u="1"/>
        <s v="Reverse ADIT Depr Q2 2014" u="1"/>
        <s v="Reversal of JRNL 74935" u="1"/>
        <s v="ADIT-CIAC" u="1"/>
        <s v="Decoupling Amort" u="1"/>
        <s v="Reversal of JRNL 77411" u="1"/>
        <s v="Record ADIT Depr 2012" u="1"/>
        <s v="FN ADIT NOL - PRA" u="1"/>
        <s v="FN ADIT Asset G/L - PRA" u="1"/>
        <s v="Record ADIT Depr Q1 &amp; Q2 2013" u="1"/>
        <s v="FE ADIT Cost of Removal - PRA" u="1"/>
        <s v="Opening Bal-Deferred taxes" u="1"/>
        <s v="ITC AMORT WO" u="1"/>
        <s v="ADIT-Taxable Service Contributions" u="1"/>
        <s v="Reverse 2012 YTD ADIT Depr" u="1"/>
        <s v="ADIT-Asset Gain/Loss" u="1"/>
        <s v="PRA-NOL" u="1"/>
        <s v="ADIT-Electric Consltant Fee" u="1"/>
        <s v="Reverse Q2 ADITs" u="1"/>
        <s v="Reverse quarterly dit" u="1"/>
        <s v="FE ADIT State Decoupling - PRA" u="1"/>
        <s v="Decoupling Bonus" u="1"/>
        <s v="ADIT-Amortization-Atlantic Acquisition" u="1"/>
        <s v="Record 2013 Decoupling" u="1"/>
        <s v="Acquis adj-ADIT Pension Reg Asset" u="1"/>
        <s v="LIBERALIZED DEPRECIATION-FEDER" u="1"/>
        <s v="FE State-FL Fed Benefit PRA" u="1"/>
        <s v="ADIT-ADIT Outside Services" u="1"/>
        <s v="FE-2014 STATE DECOUPLING-FL" u="1"/>
        <s v="PRA - Repairs Deduction" u="1"/>
        <s v="35 TO 34 ADJ FE TRUE UP" u="1"/>
        <s v="Adjust True up" u="1"/>
        <s v="FASB 109 Gross UP Nat Gas" u="1"/>
        <s v="Record ADIT Q3 2013" u="1"/>
        <s v="Rev - Record ADIT Cost Cons. Q1 2013" u="1"/>
        <s v="ADIT-Vacation" u="1"/>
        <s v="Amount investigated, write off" u="1"/>
        <s v="Gross up Merger Cost Reg Asset for tax" u="1"/>
        <s v="2Q Estimated DIT" u="1"/>
        <s v="NOL True-up" u="1"/>
        <s v="2015 YE Deficiencies-Self Ins" u="1"/>
        <s v="PRA - Depreciation" u="1"/>
        <s v="FE Accrual to return diff - IPP" u="1"/>
        <s v="Reversal of JRNL 70827" u="1"/>
        <s v="35 TO 34 ADJ FN TRUE UP" u="1"/>
        <s v="Reverse 1Q Estimated DIT" u="1"/>
        <s v="Reverse 2Q Estimated DIT" u="1"/>
        <s v="ADIT-Merger Cost" u="1"/>
        <s v="FE ADIT Repairs - PRA" u="1"/>
        <s v="ADIT-Self Insurance (Current)" u="1"/>
        <s v="Correct ITC Amort 2011" u="1"/>
        <s v="INCOME TAXES VER 2" u="1"/>
        <s v="LIBERALIZED DEPR -FEDERAL" u="1"/>
        <s v="FN ADIT Cost of Removal - PRA" u="1"/>
        <s v="FN 2008 Tax True Up" u="1"/>
        <s v="TO ACCRUE ITC ANNUAL AMOUNT" u="1"/>
        <s v="Record ADIT Depr Q1 2013" u="1"/>
        <s v="Reverse ADIT Depr 2Q 2012" u="1"/>
        <s v="Record ADIT Cost Cons. Q3 2013" u="1"/>
        <s v="Record ADIT Cost Cons. Q3 2014" u="1"/>
        <s v="Reversal of ITC Tx" u="1"/>
        <s v="Reverse 1Q Decoupling 2012" u="1"/>
        <s v="step up 35% amended tu" u="1"/>
        <s v="FN ADIT State Decoupling - PRA" u="1"/>
        <s v="INCOME TAXES" u="1"/>
        <s v="REVERSE Q1 DECOUPLING 2015" u="1"/>
        <s v="Record ADIT Cost Cons. Q1 2013" u="1"/>
        <s v="Reverse Q1 State State Decoupl" u="1"/>
        <s v="Record ADIT Cost Cons. Q1 2014" u="1"/>
        <s v="Correction of EST DIT Depr" u="1"/>
        <s v="Reclass 25DP to FE00 FF00 FN0" u="1"/>
        <s v="FE Investment Tax Credit Amort" u="1"/>
        <s v="ADIT-Post Retirement Benefits" u="1"/>
        <s v="ADIT-Post-retirement Benefits" u="1"/>
        <s v="Reversal of JRNL 68629" u="1"/>
        <s v="state true up pre-merger FE" u="1"/>
        <s v="ADIT-Piping/Conversion" u="1"/>
        <s v="FN State-FL Fed Benefit PRA" u="1"/>
        <s v="Reverse est dit" u="1"/>
        <s v="PRA - Contribution in Aid of Constructio" u="1"/>
        <s v="Fixed Asset Transfer from FN to FE" u="1"/>
        <s v="FN-2014 STATE DECOUPLING-FL" u="1"/>
        <s v="Decoupling Amort True Up" u="1"/>
        <s v="PRA - ADIT State Decoupling" u="1"/>
        <s v="ITC Amortization Adjustment  for Trueup" u="1"/>
        <s v="Reverse 2012 YTD Decoupling" u="1"/>
        <s v="Reverse Prior Q2 Decoupling" u="1"/>
        <s v="ADIT-Environmental" u="1"/>
        <s v="PRA - NOL" u="1"/>
        <s v="ADIT-Adjustment for Repairs Depreciation" u="1"/>
        <s v="ADIT-State Decoupling" u="1"/>
        <s v="Fed impact/state true up pre-merger FE" u="1"/>
        <s v="FN Accrual to return diff - IPP" u="1"/>
        <s v="FE DEC 2009 Fed Tax True Up" u="1"/>
        <s v="FPU 2007 AMEND" u="1"/>
        <s v="ITC AMORTIZATION FEB" u="1"/>
        <s v="2015 YE Deficiencies-CIAC" u="1"/>
        <s v="To adj decoupling" u="1"/>
        <s v="FN ADIT Repairs - PRA" u="1"/>
        <s v="Reverse 2011 TX Entries" u="1"/>
        <s v="ADIT-Acquisition Adjustments" u="1"/>
        <s v="BEG BAL ADJ SD" u="1"/>
        <s v="Fixed Asset Transfer from FN to CF" u="1"/>
        <s v="INCOME TAXES VER2" u="1"/>
        <s v="write off diff due to OTP rate calc" u="1"/>
        <s v="Amort ADIT Acq Adj Fed Rate to 35%" u="1"/>
        <s v="Record Decoupling Q1 2014" u="1"/>
        <s v="RECORD RATE ORDER RECLASS /REV FF" u="1"/>
        <s v="Adj Decoupling /fed impact" u="1"/>
        <s v="Record ADIT IPP Q1 &amp; Q2 2013" u="1"/>
        <s v="Record Decoupling Q3 2014" u="1"/>
        <s v="Record Decoupling Q2 2013" u="1"/>
        <s v="Record FPU 09 Detail" u="1"/>
        <s v="Acquis adj-Pension Reg Asset" u="1"/>
        <s v="ADIT-Rate Case" u="1"/>
        <s v="Reverse Decoupling 6/2012" u="1"/>
        <s v="YE Tax Accrual" u="1"/>
        <s v="Amortize Acquisition Adj ADIT" u="1"/>
        <s v="Reverse 2015 YE Deficiencies" u="1"/>
        <s v="Reverse Decoupling Bonus Sep &amp; Oct" u="1"/>
        <s v="ADIT B/S Reclass 2011 Recon" u="1"/>
        <s v="ADIT-Purchased Gas/Power  Costs" u="1"/>
        <s v="Decoupling Q1 2016" u="1"/>
        <s v="ADIT-Deferred Litigation" u="1"/>
        <s v="Clear ADIT Beg Bal" u="1"/>
        <s v="FN Investment Tax Credit Amort" u="1"/>
        <s v="Amortization Regulatory Liability" u="1"/>
        <s v="RECLASS ADIT" u="1"/>
        <s v="FASB 109 Gross UP" u="1"/>
        <s v="TO AMTZ ITC ANNUAL AMOUNT" u="1"/>
        <s v="Reverse ADIT 3Q 2012" u="1"/>
        <s v="ITC ACCRUAL" u="1"/>
        <s v="Income Tax Accrual" u="1"/>
        <s v="Decoupling Bonus TU" u="1"/>
        <s v="MOVE NOL TO CU" u="1"/>
        <s v="Tax gross up reg liab" u="1"/>
        <s v="Fed impact/state true up pre-merger FN" u="1"/>
        <s v="Record CY Amortized ITC" u="1"/>
        <s v="FE ADIT Reserve Insurance Deduct - PRA" u="1"/>
        <s v="Acquisition adjustment" u="1"/>
        <s v="Reverse 1Q ADIT Depr 2012" u="1"/>
        <s v="-ADIT-Depreciation" u="1"/>
        <s v="INCOME TAXES VER3" u="1"/>
        <s v="Decoupling Q2 2015" u="1"/>
        <s v="Reversal of JRNL 79514" u="1"/>
      </sharedItems>
    </cacheField>
    <cacheField name="Vendor_Name" numFmtId="49">
      <sharedItems containsBlank="1"/>
    </cacheField>
    <cacheField name="Document_1" numFmtId="49">
      <sharedItems containsBlank="1"/>
    </cacheField>
    <cacheField name="Document_2" numFmtId="49">
      <sharedItems containsBlank="1"/>
    </cacheField>
    <cacheField name="Apply_Date" numFmtId="164">
      <sharedItems containsNonDate="0" containsDate="1" containsString="0" containsBlank="1" minDate="2000-12-31T00:00:00" maxDate="2018-04-01T00:00:00" count="252">
        <d v="2014-03-31T00:00:00"/>
        <d v="2014-06-30T00:00:00"/>
        <d v="2014-09-30T00:00:00"/>
        <d v="2014-11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1-30T00:00:00"/>
        <d v="2016-12-31T00:00:00"/>
        <d v="2017-03-31T00:00:00"/>
        <d v="2017-06-30T00:00:00"/>
        <d v="2017-09-30T00:00:00"/>
        <d v="2017-12-31T00:00:00"/>
        <d v="2018-02-28T00:00:00"/>
        <m/>
        <d v="2007-03-31T00:00:00" u="1"/>
        <d v="2008-03-31T00:00:00" u="1"/>
        <d v="2009-03-31T00:00:00" u="1"/>
        <d v="2010-03-31T00:00:00" u="1"/>
        <d v="2011-03-31T00:00:00" u="1"/>
        <d v="2012-03-31T00:00:00" u="1"/>
        <d v="2013-03-31T00:00:00" u="1"/>
        <d v="2009-06-29T00:00:00" u="1"/>
        <d v="2018-03-31T00:00:00" u="1"/>
        <d v="2015-06-29T00:00:00" u="1"/>
        <d v="2014-06-25T00:00:00" u="1"/>
        <d v="2010-12-21T00:00:00" u="1"/>
        <d v="2010-02-26T00:00:00" u="1"/>
        <d v="2010-08-30T00:00:00" u="1"/>
        <d v="2001-10-31T00:00:00" u="1"/>
        <d v="2002-10-31T00:00:00" u="1"/>
        <d v="2003-10-31T00:00:00" u="1"/>
        <d v="2004-10-31T00:00:00" u="1"/>
        <d v="2006-10-31T00:00:00" u="1"/>
        <d v="2008-10-31T00:00:00" u="1"/>
        <d v="2009-10-31T00:00:00" u="1"/>
        <d v="2010-10-31T00:00:00" u="1"/>
        <d v="2011-10-31T00:00:00" u="1"/>
        <d v="2015-04-27T00:00:00" u="1"/>
        <d v="2012-10-31T00:00:00" u="1"/>
        <d v="2014-07-29T00:00:00" u="1"/>
        <d v="2013-10-31T00:00:00" u="1"/>
        <d v="2014-10-31T00:00:00" u="1"/>
        <d v="2015-10-31T00:00:00" u="1"/>
        <d v="2016-10-31T00:00:00" u="1"/>
        <d v="2017-10-31T00:00:00" u="1"/>
        <d v="2005-10-19T00:00:00" u="1"/>
        <d v="2014-10-23T00:00:00" u="1"/>
        <d v="2017-10-23T00:00:00" u="1"/>
        <d v="2001-09-30T00:00:00" u="1"/>
        <d v="2002-09-30T00:00:00" u="1"/>
        <d v="2003-09-30T00:00:00" u="1"/>
        <d v="2004-09-30T00:00:00" u="1"/>
        <d v="2005-09-30T00:00:00" u="1"/>
        <d v="2006-09-30T00:00:00" u="1"/>
        <d v="2007-09-30T00:00:00" u="1"/>
        <d v="2008-09-30T00:00:00" u="1"/>
        <d v="2009-09-30T00:00:00" u="1"/>
        <d v="2010-09-30T00:00:00" u="1"/>
        <d v="2011-09-30T00:00:00" u="1"/>
        <d v="2012-09-30T00:00:00" u="1"/>
        <d v="2013-09-30T00:00:00" u="1"/>
        <d v="2010-06-24T00:00:00" u="1"/>
        <d v="2017-06-28T00:00:00" u="1"/>
        <d v="2016-06-24T00:00:00" u="1"/>
        <d v="2001-05-31T00:00:00" u="1"/>
        <d v="2002-05-31T00:00:00" u="1"/>
        <d v="2004-02-29T00:00:00" u="1"/>
        <d v="2017-09-26T00:00:00" u="1"/>
        <d v="2003-05-31T00:00:00" u="1"/>
        <d v="2004-05-31T00:00:00" u="1"/>
        <d v="2005-05-31T00:00:00" u="1"/>
        <d v="2006-05-31T00:00:00" u="1"/>
        <d v="2008-02-29T00:00:00" u="1"/>
        <d v="2007-05-31T00:00:00" u="1"/>
        <d v="2008-05-31T00:00:00" u="1"/>
        <d v="2009-05-31T00:00:00" u="1"/>
        <d v="2010-05-31T00:00:00" u="1"/>
        <d v="2012-02-29T00:00:00" u="1"/>
        <d v="2011-05-31T00:00:00" u="1"/>
        <d v="2012-05-31T00:00:00" u="1"/>
        <d v="2013-05-31T00:00:00" u="1"/>
        <d v="2014-05-31T00:00:00" u="1"/>
        <d v="2016-02-29T00:00:00" u="1"/>
        <d v="2015-05-31T00:00:00" u="1"/>
        <d v="2016-05-31T00:00:00" u="1"/>
        <d v="2017-05-31T00:00:00" u="1"/>
        <d v="2001-04-30T00:00:00" u="1"/>
        <d v="2002-04-30T00:00:00" u="1"/>
        <d v="2003-04-30T00:00:00" u="1"/>
        <d v="2004-04-30T00:00:00" u="1"/>
        <d v="2005-04-30T00:00:00" u="1"/>
        <d v="2006-04-30T00:00:00" u="1"/>
        <d v="2007-04-30T00:00:00" u="1"/>
        <d v="2008-04-30T00:00:00" u="1"/>
        <d v="2009-04-30T00:00:00" u="1"/>
        <d v="2010-04-30T00:00:00" u="1"/>
        <d v="2011-04-30T00:00:00" u="1"/>
        <d v="2012-04-30T00:00:00" u="1"/>
        <d v="2013-04-30T00:00:00" u="1"/>
        <d v="2015-04-30T00:00:00" u="1"/>
        <d v="2016-04-30T00:00:00" u="1"/>
        <d v="2017-04-30T00:00:00" u="1"/>
        <d v="2009-07-28T00:00:00" u="1"/>
        <d v="2014-10-30T00:00:00" u="1"/>
        <d v="2000-12-31T00:00:00" u="1"/>
        <d v="2001-12-31T00:00:00" u="1"/>
        <d v="2002-12-31T00:00:00" u="1"/>
        <d v="2003-12-31T00:00:00" u="1"/>
        <d v="2004-12-31T00:00:00" u="1"/>
        <d v="2005-12-31T00:00:00" u="1"/>
        <d v="2006-12-31T00:00:00" u="1"/>
        <d v="2007-12-31T00:00:00" u="1"/>
        <d v="2008-12-31T00:00:00" u="1"/>
        <d v="2009-12-31T00:00:00" u="1"/>
        <d v="2013-06-27T00:00:00" u="1"/>
        <d v="2010-12-31T00:00:00" u="1"/>
        <d v="2014-06-27T00:00:00" u="1"/>
        <d v="2011-12-31T00:00:00" u="1"/>
        <d v="2012-12-31T00:00:00" u="1"/>
        <d v="2013-12-31T00:00:00" u="1"/>
        <d v="2016-09-29T00:00:00" u="1"/>
        <d v="2001-02-28T00:00:00" u="1"/>
        <d v="2002-02-28T00:00:00" u="1"/>
        <d v="2003-02-28T00:00:00" u="1"/>
        <d v="2005-02-28T00:00:00" u="1"/>
        <d v="2016-12-27T00:00:00" u="1"/>
        <d v="2006-02-28T00:00:00" u="1"/>
        <d v="2007-02-28T00:00:00" u="1"/>
        <d v="2009-02-28T00:00:00" u="1"/>
        <d v="2010-02-28T00:00:00" u="1"/>
        <d v="2011-02-28T00:00:00" u="1"/>
        <d v="2013-02-28T00:00:00" u="1"/>
        <d v="2001-11-30T00:00:00" u="1"/>
        <d v="2014-02-28T00:00:00" u="1"/>
        <d v="2002-11-30T00:00:00" u="1"/>
        <d v="2015-02-28T00:00:00" u="1"/>
        <d v="2003-11-30T00:00:00" u="1"/>
        <d v="2004-11-30T00:00:00" u="1"/>
        <d v="2017-02-28T00:00:00" u="1"/>
        <d v="2005-11-30T00:00:00" u="1"/>
        <d v="2006-11-30T00:00:00" u="1"/>
        <d v="2007-11-30T00:00:00" u="1"/>
        <d v="2008-11-30T00:00:00" u="1"/>
        <d v="2009-11-30T00:00:00" u="1"/>
        <d v="2010-11-30T00:00:00" u="1"/>
        <d v="2012-08-28T00:00:00" u="1"/>
        <d v="2011-11-30T00:00:00" u="1"/>
        <d v="2001-01-31T00:00:00" u="1"/>
        <d v="2012-11-30T00:00:00" u="1"/>
        <d v="2002-01-31T00:00:00" u="1"/>
        <d v="2013-11-30T00:00:00" u="1"/>
        <d v="2015-08-28T00:00:00" u="1"/>
        <d v="2003-01-31T00:00:00" u="1"/>
        <d v="2004-01-31T00:00:00" u="1"/>
        <d v="2008-11-26T00:00:00" u="1"/>
        <d v="2015-11-30T00:00:00" u="1"/>
        <d v="2005-01-31T00:00:00" u="1"/>
        <d v="2006-01-31T00:00:00" u="1"/>
        <d v="2017-11-30T00:00:00" u="1"/>
        <d v="2007-01-31T00:00:00" u="1"/>
        <d v="2008-01-31T00:00:00" u="1"/>
        <d v="2009-01-31T00:00:00" u="1"/>
        <d v="2010-01-31T00:00:00" u="1"/>
        <d v="2011-01-31T00:00:00" u="1"/>
        <d v="2001-07-31T00:00:00" u="1"/>
        <d v="2012-01-31T00:00:00" u="1"/>
        <d v="2002-07-31T00:00:00" u="1"/>
        <d v="2013-01-31T00:00:00" u="1"/>
        <d v="2003-07-31T00:00:00" u="1"/>
        <d v="2014-01-31T00:00:00" u="1"/>
        <d v="2004-07-31T00:00:00" u="1"/>
        <d v="2015-01-31T00:00:00" u="1"/>
        <d v="2005-07-31T00:00:00" u="1"/>
        <d v="2016-01-31T00:00:00" u="1"/>
        <d v="2006-07-31T00:00:00" u="1"/>
        <d v="2017-01-31T00:00:00" u="1"/>
        <d v="2007-07-31T00:00:00" u="1"/>
        <d v="2009-04-29T00:00:00" u="1"/>
        <d v="2018-01-31T00:00:00" u="1"/>
        <d v="2008-07-31T00:00:00" u="1"/>
        <d v="2010-04-29T00:00:00" u="1"/>
        <d v="2009-07-31T00:00:00" u="1"/>
        <d v="2010-07-31T00:00:00" u="1"/>
        <d v="2011-07-31T00:00:00" u="1"/>
        <d v="2012-07-31T00:00:00" u="1"/>
        <d v="2014-04-29T00:00:00" u="1"/>
        <d v="2013-07-31T00:00:00" u="1"/>
        <d v="2014-07-31T00:00:00" u="1"/>
        <d v="2015-07-31T00:00:00" u="1"/>
        <d v="2016-07-31T00:00:00" u="1"/>
        <d v="2017-07-31T00:00:00" u="1"/>
        <d v="2009-10-29T00:00:00" u="1"/>
        <d v="2010-10-29T00:00:00" u="1"/>
        <d v="2001-06-30T00:00:00" u="1"/>
        <d v="2002-06-30T00:00:00" u="1"/>
        <d v="2003-06-30T00:00:00" u="1"/>
        <d v="2004-06-30T00:00:00" u="1"/>
        <d v="2005-06-30T00:00:00" u="1"/>
        <d v="2006-06-30T00:00:00" u="1"/>
        <d v="2007-06-30T00:00:00" u="1"/>
        <d v="2008-06-30T00:00:00" u="1"/>
        <d v="2009-06-30T00:00:00" u="1"/>
        <d v="2010-06-30T00:00:00" u="1"/>
        <d v="2011-06-30T00:00:00" u="1"/>
        <d v="2013-03-28T00:00:00" u="1"/>
        <d v="2012-06-30T00:00:00" u="1"/>
        <d v="2014-03-28T00:00:00" u="1"/>
        <d v="2013-06-30T00:00:00" u="1"/>
        <d v="2012-09-28T00:00:00" u="1"/>
        <d v="2015-09-28T00:00:00" u="1"/>
        <d v="2014-09-24T00:00:00" u="1"/>
        <d v="2001-08-31T00:00:00" u="1"/>
        <d v="2002-08-31T00:00:00" u="1"/>
        <d v="2003-08-31T00:00:00" u="1"/>
        <d v="2004-08-31T00:00:00" u="1"/>
        <d v="2005-08-31T00:00:00" u="1"/>
        <d v="2006-08-31T00:00:00" u="1"/>
        <d v="2007-08-31T00:00:00" u="1"/>
        <d v="2009-05-29T00:00:00" u="1"/>
        <d v="2008-08-31T00:00:00" u="1"/>
        <d v="2009-08-31T00:00:00" u="1"/>
        <d v="2010-08-31T00:00:00" u="1"/>
        <d v="2011-08-31T00:00:00" u="1"/>
        <d v="2012-08-31T00:00:00" u="1"/>
        <d v="2014-05-29T00:00:00" u="1"/>
        <d v="2013-08-31T00:00:00" u="1"/>
        <d v="2015-05-29T00:00:00" u="1"/>
        <d v="2017-02-27T00:00:00" u="1"/>
        <d v="2014-08-31T00:00:00" u="1"/>
        <d v="2015-08-31T00:00:00" u="1"/>
        <d v="2016-08-31T00:00:00" u="1"/>
        <d v="2017-08-31T00:00:00" u="1"/>
        <d v="2010-05-21T00:00:00" u="1"/>
        <d v="2009-11-25T00:00:00" u="1"/>
        <d v="2016-11-29T00:00:00" u="1"/>
        <d v="2008-11-17T00:00:00" u="1"/>
        <d v="2015-07-30T00:00:00" u="1"/>
        <d v="2014-04-24T00:00:00" u="1"/>
        <d v="2001-03-31T00:00:00" u="1"/>
        <d v="2002-03-31T00:00:00" u="1"/>
        <d v="2015-10-28T00:00:00" u="1"/>
        <d v="2003-03-31T00:00:00" u="1"/>
        <d v="2016-10-28T00:00:00" u="1"/>
        <d v="2004-03-31T00:00:00" u="1"/>
        <d v="2005-03-31T00:00:00" u="1"/>
        <d v="2006-03-31T00:00:00" u="1"/>
      </sharedItems>
    </cacheField>
    <cacheField name="Posted_Date" numFmtId="164">
      <sharedItems containsNonDate="0" containsDate="1" containsString="0" containsBlank="1" minDate="2014-04-07T00:00:00" maxDate="2018-03-15T00:00:00"/>
    </cacheField>
    <cacheField name="Posted_Status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Kevin Staudt" refreshedDate="43203.737241666669" createdVersion="5" refreshedVersion="5" minRefreshableVersion="3" recordCount="16">
  <cacheSource type="worksheet">
    <worksheetSource ref="A9:D25" sheet="Q1 Activity" r:id="rId2"/>
  </cacheSource>
  <cacheFields count="4">
    <cacheField name="GL" numFmtId="0">
      <sharedItems count="12">
        <s v="25AF"/>
        <s v="25AM"/>
        <s v="25BD"/>
        <s v="25BN"/>
        <s v="25CN"/>
        <s v="25DP"/>
        <s v="25ID"/>
        <s v="25PG"/>
        <s v="25RE"/>
        <s v="25SI"/>
        <s v="25TX"/>
        <s v="25SL"/>
      </sharedItems>
    </cacheField>
    <cacheField name="Code" numFmtId="0">
      <sharedItems/>
    </cacheField>
    <cacheField name="Name" numFmtId="37">
      <sharedItems/>
    </cacheField>
    <cacheField name="Current Activity" numFmtId="37">
      <sharedItems containsSemiMixedTypes="0" containsString="0" containsNumber="1" containsInteger="1" minValue="-3016" maxValue="12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6">
  <r>
    <s v="TX-SPCL"/>
    <s v="CU00"/>
    <s v="JRNL00454103"/>
    <s v="CF00-00000-280R-254N"/>
    <x v="0"/>
    <s v="00000"/>
    <s v="280R"/>
    <x v="0"/>
    <s v=""/>
    <n v="26064"/>
    <s v="ADIT-Environmental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33101"/>
    <s v="ADIT-UnProtected NonPlant Gross-up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21742"/>
    <s v="ADIT-Environmental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0626"/>
    <s v="ADIT-Post Retirement Benefi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1180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8125"/>
    <s v="ADIT-Post Retirement Benefi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82312"/>
    <s v="ADIT-Environmenta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66770"/>
    <s v="ADIT-UnProtected NonPlant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1258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3976"/>
    <s v="ADIT-Environmental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6993"/>
    <s v="ADIT-Self Insurance (Non-Current)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19616"/>
    <s v="ADIT-Self Insurance (Non-Current)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20967"/>
    <s v="ADIT-UnProtected NonPlant Gross-up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1031"/>
    <s v="ADIT-Post Retirement Benefit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6464"/>
    <s v="ADIT-UnProtected Plant Gross-up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97029"/>
    <s v="ADIT-CIAC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238164"/>
    <s v="ADIT-UnProtected 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40818"/>
    <s v="ADIT-Piping and Conver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07844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1193"/>
    <s v="ADIT-Self Insurance (Non-Current)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8814"/>
    <s v="ADIT-UnProtected Plant Gross-up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32108"/>
    <s v="ADIT-CIAC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67823"/>
    <s v="ADIT-Long-term Bonu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0883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2530"/>
    <s v="ADIT-Post Retirement Benefit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193713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5025"/>
    <s v="ADIT-ADIT Reg Asse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8638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67"/>
    <s v="ADIT-ADIT Reg Asse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1222"/>
    <s v="ADIT-Conservat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4287"/>
    <s v="ADIT-Conservat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9529746"/>
    <s v="ADIT-Protected Gross-up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55271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5258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436098"/>
    <s v="ADIT-Protected Gross-up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653"/>
    <s v="ADIT-State NOL"/>
    <s v=""/>
    <s v=""/>
    <s v="JRNL00454103"/>
    <x v="0"/>
    <d v="2018-01-31T00:00:00"/>
    <s v="Yes"/>
  </r>
  <r>
    <s v="TX-SPCL"/>
    <s v="CU00"/>
    <s v="JRNL00455239"/>
    <s v="DE00-00000-280R-254P"/>
    <x v="1"/>
    <s v="00000"/>
    <s v="280R"/>
    <x v="1"/>
    <s v=""/>
    <n v="-3604461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300762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902252"/>
    <s v="ADIT-Protected Gross-up"/>
    <s v=""/>
    <s v=""/>
    <s v="JRNL00455239"/>
    <x v="0"/>
    <d v="2018-02-16T00:00:00"/>
    <s v="Yes"/>
  </r>
  <r>
    <s v="TX-SPCL"/>
    <s v="CU00"/>
    <s v="JRNL00455239"/>
    <s v="WC00-00000-280R-254P"/>
    <x v="8"/>
    <s v="00000"/>
    <s v="280R"/>
    <x v="1"/>
    <s v=""/>
    <n v="-506127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-125920"/>
    <s v="ADIT-Fed Tx Ghg Reg Asset Other LT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91769"/>
    <s v="ADIT-481(a) Adjustmen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666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518038"/>
    <s v="ADIT-Protected Gross-up"/>
    <s v=""/>
    <s v=""/>
    <s v="JRNL00454103"/>
    <x v="0"/>
    <d v="2018-01-31T00:00:00"/>
    <s v="Yes"/>
  </r>
  <r>
    <s v="TX-SPCL"/>
    <s v="CU00"/>
    <s v="JRNL00455239"/>
    <s v="ES00-00000-280R-254P"/>
    <x v="2"/>
    <s v="00000"/>
    <s v="280R"/>
    <x v="1"/>
    <s v=""/>
    <n v="-9529746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436098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518038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650"/>
    <s v="ADIT-FED NOL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47289"/>
    <s v="ADIT-Protected Gross-up"/>
    <s v=""/>
    <s v=""/>
    <s v="JRNL00454103"/>
    <x v="0"/>
    <d v="2018-01-31T00:00:00"/>
    <s v="Yes"/>
  </r>
  <r>
    <s v="TX-SPCL"/>
    <s v="CU00"/>
    <s v="JRNL00455239"/>
    <s v="ES00-00000-280R-254N"/>
    <x v="2"/>
    <s v="00000"/>
    <s v="280R"/>
    <x v="0"/>
    <s v=""/>
    <n v="9529746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436098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518038"/>
    <s v="ADIT-Protected Gross-up"/>
    <s v=""/>
    <s v=""/>
    <s v="JRNL00455239"/>
    <x v="0"/>
    <d v="2018-02-16T00:00:00"/>
    <s v="Yes"/>
  </r>
  <r>
    <s v="TX-SPCL"/>
    <s v="CU00"/>
    <s v="JRNL00454103"/>
    <s v="CF00-00000-280R-254N"/>
    <x v="0"/>
    <s v="00000"/>
    <s v="280R"/>
    <x v="0"/>
    <s v=""/>
    <n v="-34"/>
    <s v="ADIT-State NOL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5274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2124"/>
    <s v="ADIT-State NOL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111546"/>
    <s v="ADIT-Protected Gross-up"/>
    <s v=""/>
    <s v=""/>
    <s v="JRNL00454103"/>
    <x v="0"/>
    <d v="2018-01-31T00:00:00"/>
    <s v="Yes"/>
  </r>
  <r>
    <s v="TX-SPCL"/>
    <s v="CU00"/>
    <s v="JRNL00455239"/>
    <s v="FC00-00000-280R-254P"/>
    <x v="7"/>
    <s v="00000"/>
    <s v="280R"/>
    <x v="1"/>
    <s v=""/>
    <n v="-111251"/>
    <s v="ADIT-Protected Gross-up"/>
    <s v=""/>
    <s v=""/>
    <s v="JRNL00455239"/>
    <x v="0"/>
    <d v="2018-02-16T00:00:00"/>
    <s v="Yes"/>
  </r>
  <r>
    <s v="TX-SPCL"/>
    <s v="CU00"/>
    <s v="JRNL00455239"/>
    <s v="FI00-00000-280R-254P"/>
    <x v="9"/>
    <s v="00000"/>
    <s v="280R"/>
    <x v="1"/>
    <s v=""/>
    <n v="-47289"/>
    <s v="ADIT-Protected Gross-up"/>
    <s v=""/>
    <s v=""/>
    <s v="JRNL00455239"/>
    <x v="0"/>
    <d v="2018-02-16T00:00:00"/>
    <s v="Yes"/>
  </r>
  <r>
    <s v="TX-SPCL"/>
    <s v="CU00"/>
    <s v="JRNL00455239"/>
    <s v="FT00-00000-280R-254P"/>
    <x v="5"/>
    <s v="00000"/>
    <s v="280R"/>
    <x v="1"/>
    <s v=""/>
    <n v="-13517"/>
    <s v="ADIT-Protected Gross-up"/>
    <s v=""/>
    <s v=""/>
    <s v="JRNL00455239"/>
    <x v="0"/>
    <d v="2018-02-16T00:00:00"/>
    <s v="Yes"/>
  </r>
  <r>
    <s v="TX-SPCL"/>
    <s v="CU00"/>
    <s v="JRNL00454103"/>
    <s v="CF00-00000-280R-254N"/>
    <x v="0"/>
    <s v="00000"/>
    <s v="280R"/>
    <x v="0"/>
    <s v=""/>
    <n v="-2208729"/>
    <s v="ADIT-Protected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90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054634"/>
    <s v="ADIT-Protected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3517"/>
    <s v="ADIT-Protected Gross-up"/>
    <s v=""/>
    <s v=""/>
    <s v="JRNL00454103"/>
    <x v="0"/>
    <d v="2018-01-31T00:00:00"/>
    <s v="Yes"/>
  </r>
  <r>
    <s v="TX-SPCL"/>
    <s v="CU00"/>
    <s v="JRNL00455239"/>
    <s v="CF00-00000-280R-254P"/>
    <x v="0"/>
    <s v="00000"/>
    <s v="280R"/>
    <x v="1"/>
    <s v=""/>
    <n v="-2208729"/>
    <s v="ADIT-Protected Gross-up"/>
    <s v=""/>
    <s v=""/>
    <s v="JRNL00455239"/>
    <x v="0"/>
    <d v="2018-02-16T00:00:00"/>
    <s v="Yes"/>
  </r>
  <r>
    <s v="TX-SPCL"/>
    <s v="CU00"/>
    <s v="JRNL00455239"/>
    <s v="FE00-00000-280R-254P"/>
    <x v="3"/>
    <s v="00000"/>
    <s v="280R"/>
    <x v="1"/>
    <s v=""/>
    <n v="-818586"/>
    <s v="ADIT-Protected Gross-up"/>
    <s v=""/>
    <s v=""/>
    <s v="JRNL00455239"/>
    <x v="0"/>
    <d v="2018-02-16T00:00:00"/>
    <s v="Yes"/>
  </r>
  <r>
    <s v="TX-SPCL"/>
    <s v="CU00"/>
    <s v="JRNL00455239"/>
    <s v="FN00-00000-280R-254P"/>
    <x v="4"/>
    <s v="00000"/>
    <s v="280R"/>
    <x v="1"/>
    <s v=""/>
    <n v="-4054634"/>
    <s v="ADIT-Protected Gross-up"/>
    <s v=""/>
    <s v=""/>
    <s v="JRNL00455239"/>
    <x v="0"/>
    <d v="2018-02-16T00:00:00"/>
    <s v="Yes"/>
  </r>
  <r>
    <s v="TX-SPCL"/>
    <s v="CU00"/>
    <s v="JRNL00455239"/>
    <s v="MD00-00000-280R-254P"/>
    <x v="6"/>
    <s v="00000"/>
    <s v="280R"/>
    <x v="1"/>
    <s v=""/>
    <n v="-1111546"/>
    <s v="ADIT-Protected Gross-up"/>
    <s v=""/>
    <s v=""/>
    <s v="JRNL00455239"/>
    <x v="0"/>
    <d v="2018-02-16T00:00:00"/>
    <s v="Yes"/>
  </r>
  <r>
    <s v="TX"/>
    <s v="ES00"/>
    <s v="JRNL00455288"/>
    <s v="ES00-00000-280R-254N"/>
    <x v="2"/>
    <s v="00000"/>
    <s v="280R"/>
    <x v="0"/>
    <s v=""/>
    <n v="-151019"/>
    <s v="NOL Reclass"/>
    <s v=""/>
    <s v=""/>
    <s v="JRNL00455288"/>
    <x v="0"/>
    <d v="2018-02-16T00:00:00"/>
    <s v="Yes"/>
  </r>
  <r>
    <s v="TX-SPCL"/>
    <s v="CU00"/>
    <s v="JRNL00454103"/>
    <s v="CF00-00000-280R-254N"/>
    <x v="0"/>
    <s v="00000"/>
    <s v="280R"/>
    <x v="0"/>
    <s v=""/>
    <n v="105"/>
    <s v="ADIT-State NOL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3604461"/>
    <s v="ADIT-Protected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00762"/>
    <s v="ADIT-Protected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0788"/>
    <s v="ADIT-State NO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6326"/>
    <s v="ADIT-UnProtected NonPlant Gross-up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3847"/>
    <s v="ADIT-Long-term Bonu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15142"/>
    <s v="ADIT-Self Insurance (Non-Current)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4150"/>
    <s v="ADIT-UnProtected Non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831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217174"/>
    <s v="ADIT-Long-term Bonu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365"/>
    <s v="ADIT-UnProtected 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"/>
    <s v="ADIT-Post Retirement Benefi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224824"/>
    <s v="ADIT-Conservation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23446"/>
    <s v="ADIT-Long-term Bonu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1531"/>
    <s v="ADIT-Post Retirement Benefi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8561"/>
    <s v="ADIT-Post Retirement Benefi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35547"/>
    <s v="ADIT-UnProtected 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78"/>
    <s v="ADIT-Long-term Bonu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2904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72720"/>
    <s v="ADIT-UnProtected Non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67"/>
    <s v="ADIT-ADIT Reg Asse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67224"/>
    <s v="ADIT-Conservation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30924"/>
    <s v="ADIT-Post Retirement Benefi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70917"/>
    <s v="ADIT-UnProtected NonPlant Gross-up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"/>
    <s v="ADIT-Post Retirement Benefits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57721"/>
    <s v="ADIT-CIAC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5"/>
    <s v="ADIT-Post Retirement Benefi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55622"/>
    <s v="ADIT-Long-term Bonu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3520"/>
    <s v="ADIT-Self Insurance (Non-Current)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427"/>
    <s v="ADIT-Long-term Bonu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1419"/>
    <s v="ADIT-Self Insurance (Non-Current)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492"/>
    <s v="ADIT-UnProtected NonPlant Gross-up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463096"/>
    <s v="ADIT-CIAC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166934"/>
    <s v="ADIT-State Decoupling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487"/>
    <s v="ADIT-Reserve for Insurance Deduct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260609"/>
    <s v="ADIT-State Decoupling"/>
    <s v=""/>
    <s v=""/>
    <s v="JRNL00454103"/>
    <x v="0"/>
    <d v="2018-01-31T00:00:00"/>
    <s v="Yes"/>
  </r>
  <r>
    <s v="TX-SPCL"/>
    <s v="CU00"/>
    <s v="JRNL00455287"/>
    <s v="FC00-00000-280R-254N"/>
    <x v="7"/>
    <s v="00000"/>
    <s v="280R"/>
    <x v="0"/>
    <s v=""/>
    <n v="4519"/>
    <s v="ADIT-Excess Deferred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1766"/>
    <s v="ADIT-Excess Deferred"/>
    <s v=""/>
    <s v=""/>
    <s v="JRNL00455287"/>
    <x v="0"/>
    <d v="2018-02-16T00:00:00"/>
    <s v="Yes"/>
  </r>
  <r>
    <s v="TX-SPCL"/>
    <s v="CU00"/>
    <s v="JRNL00454103"/>
    <s v="CF00-00000-280R-254N"/>
    <x v="0"/>
    <s v="00000"/>
    <s v="280R"/>
    <x v="0"/>
    <s v=""/>
    <n v="-14851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3663"/>
    <s v="ADIT-Rate Case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56"/>
    <s v="ADIT-Reserve for Insurance Deduct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539"/>
    <s v="ADIT-Reserve for Insurance Deductibles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5664"/>
    <s v="ADIT-Excess Deferred"/>
    <s v=""/>
    <s v=""/>
    <s v="JRNL00455287"/>
    <x v="0"/>
    <d v="2018-02-16T00:00:00"/>
    <s v="Yes"/>
  </r>
  <r>
    <s v="TX-SPCL"/>
    <s v="CU00"/>
    <s v="JRNL00455287"/>
    <s v="FE00-00000-280R-254P"/>
    <x v="3"/>
    <s v="00000"/>
    <s v="280R"/>
    <x v="1"/>
    <s v=""/>
    <n v="-14725"/>
    <s v="ADIT-Excess Deferred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59584"/>
    <s v="ADIT-Excess Deferred"/>
    <s v=""/>
    <s v=""/>
    <s v="JRNL00455287"/>
    <x v="0"/>
    <d v="2018-02-16T00:00:00"/>
    <s v="Yes"/>
  </r>
  <r>
    <s v="TX-SPCL"/>
    <s v="CU00"/>
    <s v="JRNL00454103"/>
    <s v="ES00-00000-280R-254N"/>
    <x v="2"/>
    <s v="00000"/>
    <s v="280R"/>
    <x v="0"/>
    <s v=""/>
    <n v="-425215"/>
    <s v="ADIT-State Decoupling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54160"/>
    <s v="ADIT-Reserve for Insurance Deductible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-136391"/>
    <s v="ADIT-Loss on Reacquired Deb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129425"/>
    <s v="ADIT-State Decoupling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24451"/>
    <s v="ADIT-Rate Case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206681"/>
    <s v="ADIT-Excess Deferred"/>
    <s v=""/>
    <s v=""/>
    <s v="JRNL00455287"/>
    <x v="0"/>
    <d v="2018-02-16T00:00:00"/>
    <s v="Yes"/>
  </r>
  <r>
    <s v="TX-SPCL"/>
    <s v="CU00"/>
    <s v="JRNL00455287"/>
    <s v="FE00-00000-280R-254N"/>
    <x v="3"/>
    <s v="00000"/>
    <s v="280R"/>
    <x v="0"/>
    <s v=""/>
    <n v="-39295"/>
    <s v="ADIT-Excess Deferred"/>
    <s v=""/>
    <s v=""/>
    <s v="JRNL00455287"/>
    <x v="0"/>
    <d v="2018-02-16T00:00:00"/>
    <s v="Yes"/>
  </r>
  <r>
    <s v="TX-SPCL"/>
    <s v="CU00"/>
    <s v="JRNL00455287"/>
    <s v="WC00-00000-280R-254N"/>
    <x v="8"/>
    <s v="00000"/>
    <s v="280R"/>
    <x v="0"/>
    <s v=""/>
    <n v="1378"/>
    <s v="ADIT-Excess Deferred"/>
    <s v=""/>
    <s v=""/>
    <s v="JRNL00455287"/>
    <x v="0"/>
    <d v="2018-02-16T00:00:00"/>
    <s v="Yes"/>
  </r>
  <r>
    <s v="TX-SPCL"/>
    <s v="CU00"/>
    <s v="JRNL00454103"/>
    <s v="CF00-00000-280R-254N"/>
    <x v="0"/>
    <s v="00000"/>
    <s v="280R"/>
    <x v="0"/>
    <s v=""/>
    <n v="-4349"/>
    <s v="ADIT-Deferred Revenue (Current)"/>
    <s v=""/>
    <s v=""/>
    <s v="JRNL00454103"/>
    <x v="0"/>
    <d v="2018-01-31T00:00:00"/>
    <s v="Yes"/>
  </r>
  <r>
    <s v="TX-SPCL"/>
    <s v="CU00"/>
    <s v="JRNL00455287"/>
    <s v="ES00-00000-280R-254N"/>
    <x v="2"/>
    <s v="00000"/>
    <s v="280R"/>
    <x v="0"/>
    <s v=""/>
    <n v="1717"/>
    <s v="ADIT-Excess Deferred"/>
    <s v=""/>
    <s v=""/>
    <s v="JRNL00455287"/>
    <x v="0"/>
    <d v="2018-02-16T00:00:00"/>
    <s v="Yes"/>
  </r>
  <r>
    <s v="TX-SPCL"/>
    <s v="CU00"/>
    <s v="JRNL00455287"/>
    <s v="FI00-00000-280R-254N"/>
    <x v="9"/>
    <s v="00000"/>
    <s v="280R"/>
    <x v="0"/>
    <s v=""/>
    <n v="7894"/>
    <s v="ADIT-Excess Deferred"/>
    <s v=""/>
    <s v=""/>
    <s v="JRNL00455287"/>
    <x v="0"/>
    <d v="2018-02-16T00:00:00"/>
    <s v="Yes"/>
  </r>
  <r>
    <s v="TX-SPCL"/>
    <s v="CU00"/>
    <s v="JRNL00454103"/>
    <s v="FE00-00000-280R-254N"/>
    <x v="3"/>
    <s v="00000"/>
    <s v="280R"/>
    <x v="0"/>
    <s v=""/>
    <n v="-15825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3663"/>
    <s v="ADIT-Rate Case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7332"/>
    <s v="ADIT-Reserve for Insurance Deduct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94793"/>
    <s v="ADIT-Rate Case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0626"/>
    <s v="ADIT-Reserve for Insurance Deductible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6552"/>
    <s v="ADIT-Reserve for Insurance Deductible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07571"/>
    <s v="ADIT-State Decoupling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73147"/>
    <s v="ADIT-Rate Case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82836"/>
    <s v="ADIT-Repairs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-11727"/>
    <s v="ADIT-Cost of Removal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1891"/>
    <s v="ADIT-AFUDC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57165"/>
    <s v="ADIT-Cost of Remova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01524"/>
    <s v="ADIT-Repair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79"/>
    <s v="ADIT-Amortization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1"/>
    <s v="ADIT-SERP (Non-Current)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237474"/>
    <s v="ADIT-Cost of Removal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158593"/>
    <s v="ADIT-Cost of Removal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334962"/>
    <s v="ADIT-AFUDC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105339"/>
    <s v="ADIT-Asset Gain/ Los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48"/>
    <s v="ADIT-Repair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6228"/>
    <s v="ADIT-AFUDC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-107806"/>
    <s v="ADIT-Cost of Removal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9299"/>
    <s v="ADIT-Asset Gain/ Loss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612300"/>
    <s v="ADIT-Cost of Removal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25786"/>
    <s v="ADIT-Repairs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127945"/>
    <s v="ADIT-Cost of Removal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11486"/>
    <s v="ADIT-Asset Gain/ Loss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19040"/>
    <s v="ADIT-Repairs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793"/>
    <s v="ADIT-Cost of Removal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31602"/>
    <s v="ADIT-Amortization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49891"/>
    <s v="ADIT-Repair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9149"/>
    <s v="ADIT-AFUDC"/>
    <s v=""/>
    <s v=""/>
    <s v="JRNL00454103"/>
    <x v="0"/>
    <d v="2018-01-31T00:00:00"/>
    <s v="Yes"/>
  </r>
  <r>
    <s v="TX-SPCL"/>
    <s v="CU00"/>
    <s v="JRNL00454103"/>
    <s v="ES00-00000-280R-254P"/>
    <x v="2"/>
    <s v="00000"/>
    <s v="280R"/>
    <x v="1"/>
    <s v=""/>
    <n v="-96438"/>
    <s v="ADIT-Asset Gain/ Los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32222"/>
    <s v="ADIT-Repair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1075"/>
    <s v="ADIT-Repair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50437"/>
    <s v="ADIT-Amortization"/>
    <s v=""/>
    <s v=""/>
    <s v="JRNL00454103"/>
    <x v="0"/>
    <d v="2018-01-31T00:00:00"/>
    <s v="Yes"/>
  </r>
  <r>
    <s v="TX-SPCL"/>
    <s v="CU00"/>
    <s v="JRNL00454103"/>
    <s v="FT00-00000-280R-254P"/>
    <x v="5"/>
    <s v="00000"/>
    <s v="280R"/>
    <x v="1"/>
    <s v=""/>
    <n v="-3195"/>
    <s v="ADIT-Cost of Removal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4461"/>
    <s v="ADIT-AFUDC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36648"/>
    <s v="ADIT-Asset Gain/ Los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66912"/>
    <s v="ADIT-Repairs"/>
    <s v=""/>
    <s v=""/>
    <s v="JRNL00454103"/>
    <x v="0"/>
    <d v="2018-01-31T00:00:00"/>
    <s v="Yes"/>
  </r>
  <r>
    <s v="TX-SPCL"/>
    <s v="CU00"/>
    <s v="JRNL00454103"/>
    <s v="DE00-00000-280R-254P"/>
    <x v="1"/>
    <s v="00000"/>
    <s v="280R"/>
    <x v="1"/>
    <s v=""/>
    <n v="18909"/>
    <s v="ADIT-Asset Gain/ Loss"/>
    <s v=""/>
    <s v=""/>
    <s v="JRNL00454103"/>
    <x v="0"/>
    <d v="2018-01-31T00:00:00"/>
    <s v="Yes"/>
  </r>
  <r>
    <s v="TX-SPCL"/>
    <s v="CU00"/>
    <s v="JRNL00454103"/>
    <s v="FC00-00000-280R-254P"/>
    <x v="7"/>
    <s v="00000"/>
    <s v="280R"/>
    <x v="1"/>
    <s v=""/>
    <n v="-6012"/>
    <s v="ADIT-Asset Gain/ Loss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2433"/>
    <s v="ADIT-Asset Gain/ Loss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9845"/>
    <s v="ADIT-Asset Gain/ Los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48976"/>
    <s v="ADIT-Repairs"/>
    <s v=""/>
    <s v=""/>
    <s v="JRNL00454103"/>
    <x v="0"/>
    <d v="2018-01-31T00:00:00"/>
    <s v="Yes"/>
  </r>
  <r>
    <s v="TX-SPCL"/>
    <s v="CU00"/>
    <s v="JRNL00455239"/>
    <s v="FC00-00000-280R-254N"/>
    <x v="7"/>
    <s v="00000"/>
    <s v="280R"/>
    <x v="0"/>
    <s v=""/>
    <n v="111251"/>
    <s v="ADIT-Protected Gross-up"/>
    <s v=""/>
    <s v=""/>
    <s v="JRNL00455239"/>
    <x v="0"/>
    <d v="2018-02-16T00:00:00"/>
    <s v="Yes"/>
  </r>
  <r>
    <s v="TX-SPCL"/>
    <s v="CU00"/>
    <s v="JRNL00455239"/>
    <s v="FI00-00000-280R-254N"/>
    <x v="9"/>
    <s v="00000"/>
    <s v="280R"/>
    <x v="0"/>
    <s v=""/>
    <n v="47289"/>
    <s v="ADIT-Protected Gross-up"/>
    <s v=""/>
    <s v=""/>
    <s v="JRNL00455239"/>
    <x v="0"/>
    <d v="2018-02-16T00:00:00"/>
    <s v="Yes"/>
  </r>
  <r>
    <s v="TX-SPCL"/>
    <s v="CU00"/>
    <s v="JRNL00455239"/>
    <s v="FT00-00000-280R-254N"/>
    <x v="5"/>
    <s v="00000"/>
    <s v="280R"/>
    <x v="0"/>
    <s v=""/>
    <n v="13517"/>
    <s v="ADIT-Protected Gross-up"/>
    <s v=""/>
    <s v=""/>
    <s v="JRNL00455239"/>
    <x v="0"/>
    <d v="2018-02-16T00:00:00"/>
    <s v="Yes"/>
  </r>
  <r>
    <s v="TX-SPCL"/>
    <s v="CU00"/>
    <s v="JRNL00454103"/>
    <s v="FC00-00000-280R-254N"/>
    <x v="7"/>
    <s v="00000"/>
    <s v="280R"/>
    <x v="0"/>
    <s v=""/>
    <n v="-111251"/>
    <s v="ADIT-Protected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818586"/>
    <s v="ADIT-Protected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902252"/>
    <s v="ADIT-Protected Gross-up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6127"/>
    <s v="ADIT-Protected Gross-up"/>
    <s v=""/>
    <s v=""/>
    <s v="JRNL00454103"/>
    <x v="0"/>
    <d v="2018-01-31T00:00:00"/>
    <s v="Yes"/>
  </r>
  <r>
    <s v="TX-SPCL"/>
    <s v="CU00"/>
    <s v="JRNL00455239"/>
    <s v="DE00-00000-280R-254N"/>
    <x v="1"/>
    <s v="00000"/>
    <s v="280R"/>
    <x v="0"/>
    <s v=""/>
    <n v="3604461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300762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902252"/>
    <s v="ADIT-Protected Gross-up"/>
    <s v=""/>
    <s v=""/>
    <s v="JRNL00455239"/>
    <x v="0"/>
    <d v="2018-02-16T00:00:00"/>
    <s v="Yes"/>
  </r>
  <r>
    <s v="TX-SPCL"/>
    <s v="CU00"/>
    <s v="JRNL00455239"/>
    <s v="WC00-00000-280R-254N"/>
    <x v="8"/>
    <s v="00000"/>
    <s v="280R"/>
    <x v="0"/>
    <s v=""/>
    <n v="506127"/>
    <s v="ADIT-Protected Gross-up"/>
    <s v=""/>
    <s v=""/>
    <s v="JRNL00455239"/>
    <x v="0"/>
    <d v="2018-02-16T00:00:00"/>
    <s v="Yes"/>
  </r>
  <r>
    <s v="TX-SPCL"/>
    <s v="CU00"/>
    <s v="JRNL00454103"/>
    <s v="ES00-00000-280R-254N"/>
    <x v="2"/>
    <s v="00000"/>
    <s v="280R"/>
    <x v="0"/>
    <s v=""/>
    <n v="90"/>
    <s v="ADIT-State NOL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54602"/>
    <s v="ADIT-State NOL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5258"/>
    <s v="ADIT-State NOL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415"/>
    <s v="ADIT-FED NOL"/>
    <s v=""/>
    <s v=""/>
    <s v="JRNL00454103"/>
    <x v="0"/>
    <d v="2018-01-31T00:00:00"/>
    <s v="Yes"/>
  </r>
  <r>
    <s v="TX-SPCL"/>
    <s v="CU00"/>
    <s v="JRNL00455239"/>
    <s v="CF00-00000-280R-254N"/>
    <x v="0"/>
    <s v="00000"/>
    <s v="280R"/>
    <x v="0"/>
    <s v=""/>
    <n v="2208729"/>
    <s v="ADIT-Protected Gross-up"/>
    <s v=""/>
    <s v=""/>
    <s v="JRNL00455239"/>
    <x v="0"/>
    <d v="2018-02-16T00:00:00"/>
    <s v="Yes"/>
  </r>
  <r>
    <s v="TX-SPCL"/>
    <s v="CU00"/>
    <s v="JRNL00455239"/>
    <s v="FE00-00000-280R-254N"/>
    <x v="3"/>
    <s v="00000"/>
    <s v="280R"/>
    <x v="0"/>
    <s v=""/>
    <n v="818586"/>
    <s v="ADIT-Protected Gross-up"/>
    <s v=""/>
    <s v=""/>
    <s v="JRNL00455239"/>
    <x v="0"/>
    <d v="2018-02-16T00:00:00"/>
    <s v="Yes"/>
  </r>
  <r>
    <s v="TX-SPCL"/>
    <s v="CU00"/>
    <s v="JRNL00455239"/>
    <s v="FN00-00000-280R-254N"/>
    <x v="4"/>
    <s v="00000"/>
    <s v="280R"/>
    <x v="0"/>
    <s v=""/>
    <n v="4054634"/>
    <s v="ADIT-Protected Gross-up"/>
    <s v=""/>
    <s v=""/>
    <s v="JRNL00455239"/>
    <x v="0"/>
    <d v="2018-02-16T00:00:00"/>
    <s v="Yes"/>
  </r>
  <r>
    <s v="TX-SPCL"/>
    <s v="CU00"/>
    <s v="JRNL00455239"/>
    <s v="MD00-00000-280R-254N"/>
    <x v="6"/>
    <s v="00000"/>
    <s v="280R"/>
    <x v="0"/>
    <s v=""/>
    <n v="1111546"/>
    <s v="ADIT-Protected Gross-up"/>
    <s v=""/>
    <s v=""/>
    <s v="JRNL00455239"/>
    <x v="0"/>
    <d v="2018-02-16T00:00:00"/>
    <s v="Yes"/>
  </r>
  <r>
    <s v="TX-SPCL"/>
    <s v="CU00"/>
    <s v="JRNL00454103"/>
    <s v="FN00-00000-280R-254N"/>
    <x v="4"/>
    <s v="00000"/>
    <s v="280R"/>
    <x v="0"/>
    <s v=""/>
    <n v="86386"/>
    <s v="ADIT-Post Retirement Benefit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4414"/>
    <s v="ADIT-Self Insurance (Non-Current)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30471"/>
    <s v="ADIT-CIAC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95"/>
    <s v="ADIT-Post Retirement Benefi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20287"/>
    <s v="ADIT-UnProtected Plant Gross-up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7629"/>
    <s v="ADIT-UnProtected NonPlant Gross-up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29509"/>
    <s v="ADIT-Conservation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25508"/>
    <s v="ADIT-Self Insurance (Non-Current)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9692"/>
    <s v="ADIT-ADIT State Tax Reg Asset-DE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90751"/>
    <s v="ADIT-UnProtected Plant Gross-up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9670"/>
    <s v="ADIT-Conserv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85262"/>
    <s v="ADIT-UnProtected NonPlant Gross-up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03"/>
    <s v="ADIT-Self Insurance (Non-Current)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-20602"/>
    <s v="ADIT-UnProtected Plant Gross-up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153674"/>
    <s v="ADIT-UnProtected NonPlant Gross-up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42"/>
    <s v="ADIT-Post Retirement Benefi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"/>
    <s v="ADIT-Long-term Bonu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33912"/>
    <s v="ADIT-ADIT Reg Asse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1694835"/>
    <s v="ADIT-UnProtected Plant Gross-up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087"/>
    <s v="ADIT-Conservation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-16"/>
    <s v="ADIT-UnProtected Plant Gross-up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326"/>
    <s v="ADIT-CIAC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6294"/>
    <s v="ADIT-Bad Deb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3775"/>
    <s v="ADIT-Tx Reg Asset Other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9368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6275"/>
    <s v="ADIT-Pension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13514"/>
    <s v="ADIT-Bad Debt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44902"/>
    <s v="ADIT-263A Capitalized Interest/Overhead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259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982"/>
    <s v="ADIT-Bad Deb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9677"/>
    <s v="ADIT-Bad Deb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24684"/>
    <s v="ADIT-263A Capitalized Interest/Overhead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35201"/>
    <s v="ADIT-263A Capitalized Interest/Overhead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957"/>
    <s v="ADIT-Property L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1089"/>
    <s v="ADIT-Pen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9801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38565"/>
    <s v="ADIT-Property LT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4931"/>
    <s v="ADIT-Bad Debt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50383"/>
    <s v="ADIT-Pension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87035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75803"/>
    <s v="ADIT-Property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31361"/>
    <s v="ADIT-Property LT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41868"/>
    <s v="ADIT-Pension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56696"/>
    <s v="ADIT-Pens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139726"/>
    <s v="ADIT-Pension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9659"/>
    <s v="ADIT-Vac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26673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27027"/>
    <s v="ADIT-Property LT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94754"/>
    <s v="ADIT-Pension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242"/>
    <s v="ADIT-Bad Debt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223689"/>
    <s v="ADIT-263A Capitalized Interest/Overhead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8887"/>
    <s v="ADIT-Bad Debt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59"/>
    <s v="ADIT-Bad Deb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1288459"/>
    <s v="ADIT-Conversion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8163"/>
    <s v="ADIT-Flex Revenue"/>
    <s v=""/>
    <s v=""/>
    <s v="JRNL00454103"/>
    <x v="0"/>
    <d v="2018-01-31T00:00:00"/>
    <s v="Yes"/>
  </r>
  <r>
    <s v="TX-SPCL"/>
    <s v="CU00"/>
    <s v="JRNL00454103"/>
    <s v="FC00-00000-280R-254N"/>
    <x v="7"/>
    <s v="00000"/>
    <s v="280R"/>
    <x v="0"/>
    <s v=""/>
    <n v="439482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7461"/>
    <s v="ADIT-Pens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77060"/>
    <s v="ADIT-Property LT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26126"/>
    <s v="ADIT-Deferred Revenue (Non-Current)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6144"/>
    <s v="ADIT-Pens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4443"/>
    <s v="ADIT-Property LT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59"/>
    <s v="ADIT-Reserve for Insurance Deduct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2942"/>
    <s v="ADIT-State Decoupling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506994"/>
    <s v="ADIT-Purchased Gas Cost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7895"/>
    <s v="ADIT-Purchased Gas Cos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67914"/>
    <s v="ADIT-Real Property Taxes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-124053"/>
    <s v="ADIT-Real Property Tax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6286"/>
    <s v="ADIT-ADIT Outside Service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535452"/>
    <s v="ADIT-Purchased Gas Cos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-352050"/>
    <s v="ADIT-Purchased Gas Cost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564"/>
    <s v="ADIT-Purchased Gas Costs"/>
    <s v=""/>
    <s v=""/>
    <s v="JRNL00454103"/>
    <x v="0"/>
    <d v="2018-01-31T00:00:00"/>
    <s v="Yes"/>
  </r>
  <r>
    <s v="TX-SPCL"/>
    <s v="CU00"/>
    <s v="JRNL00454103"/>
    <s v="MD00-00000-280R-254N"/>
    <x v="6"/>
    <s v="00000"/>
    <s v="280R"/>
    <x v="0"/>
    <s v=""/>
    <n v="-190806"/>
    <s v="ADIT-Purchased Gas Cos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0297"/>
    <s v="ADIT-Purchased Gas Cost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152631"/>
    <s v="ADIT-Purchased Gas Cost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50225"/>
    <s v="ADIT-Real Property Taxes"/>
    <s v=""/>
    <s v=""/>
    <s v="JRNL00454103"/>
    <x v="0"/>
    <d v="2018-01-31T00:00:00"/>
    <s v="Yes"/>
  </r>
  <r>
    <s v="TX-SPCL"/>
    <s v="CU00"/>
    <s v="JRNL00454103"/>
    <s v="DE00-00000-280R-254N"/>
    <x v="1"/>
    <s v="00000"/>
    <s v="280R"/>
    <x v="0"/>
    <s v=""/>
    <n v="-77055"/>
    <s v="ADIT-Real Property Tax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875"/>
    <s v="ADIT-ADIT Outside Servic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4411"/>
    <s v="ADIT-ADIT Outside Services"/>
    <s v=""/>
    <s v=""/>
    <s v="JRNL00454103"/>
    <x v="0"/>
    <d v="2018-01-31T00:00:00"/>
    <s v="Yes"/>
  </r>
  <r>
    <s v="TX-SPCL"/>
    <s v="CU00"/>
    <s v="JRNL00454103"/>
    <s v="CF00-00000-280R-254P"/>
    <x v="0"/>
    <s v="00000"/>
    <s v="280R"/>
    <x v="1"/>
    <s v=""/>
    <n v="-6367953"/>
    <s v="ADIT-Depreciation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1284548"/>
    <s v="ADIT-Depreciation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693"/>
    <s v="ADIT-Storm Reserve"/>
    <s v=""/>
    <s v=""/>
    <s v="JRNL00454103"/>
    <x v="0"/>
    <d v="2018-01-31T00:00:00"/>
    <s v="Yes"/>
  </r>
  <r>
    <s v="TX-SPCL"/>
    <s v="CU00"/>
    <s v="JRNL00454103"/>
    <s v="FT00-00000-280R-254P"/>
    <x v="5"/>
    <s v="00000"/>
    <s v="280R"/>
    <x v="1"/>
    <s v=""/>
    <n v="-36619"/>
    <s v="ADIT-Depreciation"/>
    <s v=""/>
    <s v=""/>
    <s v="JRNL00454103"/>
    <x v="0"/>
    <d v="2018-01-31T00:00:00"/>
    <s v="Yes"/>
  </r>
  <r>
    <s v="TX-SPCL"/>
    <s v="CU00"/>
    <s v="JRNL00454103"/>
    <s v="ES00-00000-280R-254N"/>
    <x v="2"/>
    <s v="00000"/>
    <s v="280R"/>
    <x v="0"/>
    <s v=""/>
    <n v="1"/>
    <s v="ADIT-E3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87848"/>
    <s v="ADIT-Storm Reserve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-1506"/>
    <s v="ADIT-Gross up"/>
    <s v=""/>
    <s v=""/>
    <s v="JRNL00455287"/>
    <x v="0"/>
    <d v="2018-02-16T00:00:00"/>
    <s v="Yes"/>
  </r>
  <r>
    <s v="TX-SPCL"/>
    <s v="CU00"/>
    <s v="JRNL00455287"/>
    <s v="FE00-00000-280R-254P"/>
    <x v="3"/>
    <s v="00000"/>
    <s v="280R"/>
    <x v="1"/>
    <s v=""/>
    <n v="3914"/>
    <s v="ADIT-Gross up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-15839"/>
    <s v="ADIT-Gross up"/>
    <s v=""/>
    <s v=""/>
    <s v="JRNL00455287"/>
    <x v="0"/>
    <d v="2018-02-16T00:00:00"/>
    <s v="Yes"/>
  </r>
  <r>
    <s v="TX-SPCL"/>
    <s v="CU00"/>
    <s v="JRNL00454103"/>
    <s v="DE00-00000-280R-254P"/>
    <x v="1"/>
    <s v="00000"/>
    <s v="280R"/>
    <x v="1"/>
    <s v=""/>
    <n v="-9296093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224"/>
    <s v="ADIT-Storm Reserve"/>
    <s v=""/>
    <s v=""/>
    <s v="JRNL00454103"/>
    <x v="0"/>
    <d v="2018-01-31T00:00:00"/>
    <s v="Yes"/>
  </r>
  <r>
    <s v="TX-SPCL"/>
    <s v="CU00"/>
    <s v="JRNL00454103"/>
    <s v="FI00-00000-280R-254P"/>
    <x v="9"/>
    <s v="00000"/>
    <s v="280R"/>
    <x v="1"/>
    <s v=""/>
    <n v="-129200"/>
    <s v="ADIT-Depreciation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1781496"/>
    <s v="ADIT-Depreciation"/>
    <s v=""/>
    <s v=""/>
    <s v="JRNL00454103"/>
    <x v="0"/>
    <d v="2018-01-31T00:00:00"/>
    <s v="Yes"/>
  </r>
  <r>
    <s v="TX-SPCL"/>
    <s v="CU00"/>
    <s v="JRNL00454103"/>
    <s v="MD00-00000-280R-254P"/>
    <x v="6"/>
    <s v="00000"/>
    <s v="280R"/>
    <x v="1"/>
    <s v=""/>
    <n v="-2820550"/>
    <s v="ADIT-Depreciation"/>
    <s v=""/>
    <s v=""/>
    <s v="JRNL00454103"/>
    <x v="0"/>
    <d v="2018-01-31T00:00:00"/>
    <s v="Yes"/>
  </r>
  <r>
    <s v="TX-SPCL"/>
    <s v="CU00"/>
    <s v="JRNL00454103"/>
    <s v="FC00-00000-280R-254P"/>
    <x v="7"/>
    <s v="00000"/>
    <s v="280R"/>
    <x v="1"/>
    <s v=""/>
    <n v="-321685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276118"/>
    <s v="ADIT-Storm Reserve"/>
    <s v=""/>
    <s v=""/>
    <s v="JRNL00454103"/>
    <x v="0"/>
    <d v="2018-01-31T00:00:00"/>
    <s v="Yes"/>
  </r>
  <r>
    <s v="TX-SPCL"/>
    <s v="CU00"/>
    <s v="JRNL00454103"/>
    <s v="WC00-00000-280R-254P"/>
    <x v="8"/>
    <s v="00000"/>
    <s v="280R"/>
    <x v="1"/>
    <s v=""/>
    <n v="-1239025"/>
    <s v="ADIT-Depreciation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2657629"/>
    <s v="ADIT-Depreciation"/>
    <s v=""/>
    <s v=""/>
    <s v="JRNL00454103"/>
    <x v="0"/>
    <d v="2018-01-31T00:00:00"/>
    <s v="Yes"/>
  </r>
  <r>
    <s v="TX-SPCL"/>
    <s v="CU00"/>
    <s v="JRNL00455287"/>
    <s v="DE00-00000-280R-254N"/>
    <x v="1"/>
    <s v="00000"/>
    <s v="280R"/>
    <x v="0"/>
    <s v=""/>
    <n v="-54941"/>
    <s v="ADIT-Gross up"/>
    <s v=""/>
    <s v=""/>
    <s v="JRNL00455287"/>
    <x v="0"/>
    <d v="2018-02-16T00:00:00"/>
    <s v="Yes"/>
  </r>
  <r>
    <s v="TX-SPCL"/>
    <s v="CU00"/>
    <s v="JRNL00455287"/>
    <s v="FE00-00000-280R-254N"/>
    <x v="3"/>
    <s v="00000"/>
    <s v="280R"/>
    <x v="0"/>
    <s v=""/>
    <n v="10446"/>
    <s v="ADIT-Gross up"/>
    <s v=""/>
    <s v=""/>
    <s v="JRNL00455287"/>
    <x v="0"/>
    <d v="2018-02-16T00:00:00"/>
    <s v="Yes"/>
  </r>
  <r>
    <s v="TX-SPCL"/>
    <s v="CU00"/>
    <s v="JRNL00455287"/>
    <s v="WC00-00000-280R-254N"/>
    <x v="8"/>
    <s v="00000"/>
    <s v="280R"/>
    <x v="0"/>
    <s v=""/>
    <n v="-366"/>
    <s v="ADIT-Gross up"/>
    <s v=""/>
    <s v=""/>
    <s v="JRNL00455287"/>
    <x v="0"/>
    <d v="2018-02-16T00:00:00"/>
    <s v="Yes"/>
  </r>
  <r>
    <s v="TX-SPCL"/>
    <s v="CU00"/>
    <s v="JRNL00454103"/>
    <s v="FE00-00000-280R-254P"/>
    <x v="3"/>
    <s v="00000"/>
    <s v="280R"/>
    <x v="1"/>
    <s v=""/>
    <n v="-2376082"/>
    <s v="ADIT-Depreciation"/>
    <s v=""/>
    <s v=""/>
    <s v="JRNL00454103"/>
    <x v="0"/>
    <d v="2018-01-31T00:00:00"/>
    <s v="Yes"/>
  </r>
  <r>
    <s v="TX-SPCL"/>
    <s v="CU00"/>
    <s v="JRNL00455287"/>
    <s v="FC00-00000-280R-254N"/>
    <x v="7"/>
    <s v="00000"/>
    <s v="280R"/>
    <x v="0"/>
    <s v=""/>
    <n v="-1201"/>
    <s v="ADIT-Gross up"/>
    <s v=""/>
    <s v=""/>
    <s v="JRNL00455287"/>
    <x v="0"/>
    <d v="2018-02-16T00:00:00"/>
    <s v="Yes"/>
  </r>
  <r>
    <s v="TX-SPCL"/>
    <s v="CU00"/>
    <s v="JRNL00455287"/>
    <s v="MD00-00000-280R-254N"/>
    <x v="6"/>
    <s v="00000"/>
    <s v="280R"/>
    <x v="0"/>
    <s v=""/>
    <n v="-469"/>
    <s v="ADIT-Gross up"/>
    <s v=""/>
    <s v=""/>
    <s v="JRNL00455287"/>
    <x v="0"/>
    <d v="2018-02-16T00:00:00"/>
    <s v="Yes"/>
  </r>
  <r>
    <s v="TX-SPCL"/>
    <s v="CU00"/>
    <s v="JRNL00454103"/>
    <s v="ES00-00000-280R-254P"/>
    <x v="2"/>
    <s v="00000"/>
    <s v="280R"/>
    <x v="1"/>
    <s v=""/>
    <n v="-23323670"/>
    <s v="ADIT-Depreciation"/>
    <s v=""/>
    <s v=""/>
    <s v="JRNL00454103"/>
    <x v="0"/>
    <d v="2018-01-31T00:00:00"/>
    <s v="Yes"/>
  </r>
  <r>
    <s v="TX-SPCL"/>
    <s v="CU00"/>
    <s v="JRNL00454103"/>
    <s v="FE00-00000-280R-254P"/>
    <x v="3"/>
    <s v="00000"/>
    <s v="280R"/>
    <x v="1"/>
    <s v=""/>
    <n v="-885909"/>
    <s v="ADIT-Depreciation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5162"/>
    <s v="ADIT-Storm Reserve"/>
    <s v=""/>
    <s v=""/>
    <s v="JRNL00454103"/>
    <x v="0"/>
    <d v="2018-01-31T00:00:00"/>
    <s v="Yes"/>
  </r>
  <r>
    <s v="TX-SPCL"/>
    <s v="CU00"/>
    <s v="JRNL00454103"/>
    <s v="FN00-00000-280R-254P"/>
    <x v="4"/>
    <s v="00000"/>
    <s v="280R"/>
    <x v="1"/>
    <s v=""/>
    <n v="-1525909"/>
    <s v="ADIT-Depreciation"/>
    <s v=""/>
    <s v=""/>
    <s v="JRNL00454103"/>
    <x v="0"/>
    <d v="2018-01-31T00:00:00"/>
    <s v="Yes"/>
  </r>
  <r>
    <s v="TX-SPCL"/>
    <s v="CU00"/>
    <s v="JRNL00455287"/>
    <s v="ES00-00000-280R-254N"/>
    <x v="2"/>
    <s v="00000"/>
    <s v="280R"/>
    <x v="0"/>
    <s v=""/>
    <n v="-456"/>
    <s v="ADIT-Gross up"/>
    <s v=""/>
    <s v=""/>
    <s v="JRNL00455287"/>
    <x v="0"/>
    <d v="2018-02-16T00:00:00"/>
    <s v="Yes"/>
  </r>
  <r>
    <s v="TX-SPCL"/>
    <s v="CU00"/>
    <s v="JRNL00455287"/>
    <s v="FI00-00000-280R-254N"/>
    <x v="9"/>
    <s v="00000"/>
    <s v="280R"/>
    <x v="0"/>
    <s v=""/>
    <n v="-2098"/>
    <s v="ADIT-Gross up"/>
    <s v=""/>
    <s v=""/>
    <s v="JRNL00455287"/>
    <x v="0"/>
    <d v="2018-02-16T00:00:00"/>
    <s v="Yes"/>
  </r>
  <r>
    <s v="TX-SPCL"/>
    <s v="CU00"/>
    <s v="JRNL00454103"/>
    <s v="FN00-00000-280R-254N"/>
    <x v="4"/>
    <s v="00000"/>
    <s v="280R"/>
    <x v="0"/>
    <s v=""/>
    <n v="473037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95624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153566"/>
    <s v="ADIT-Customer Based Intangibles"/>
    <s v=""/>
    <s v=""/>
    <s v="JRNL00454103"/>
    <x v="0"/>
    <d v="2018-01-31T00:00:00"/>
    <s v="Yes"/>
  </r>
  <r>
    <s v="TX-SPCL"/>
    <s v="CU00"/>
    <s v="JRNL00454103"/>
    <s v="FT00-00000-280R-254N"/>
    <x v="5"/>
    <s v="00000"/>
    <s v="280R"/>
    <x v="0"/>
    <s v=""/>
    <n v="119"/>
    <s v="ADIT-Customer Based Intangibles"/>
    <s v=""/>
    <s v=""/>
    <s v="JRNL00454103"/>
    <x v="0"/>
    <d v="2018-01-31T00:00:00"/>
    <s v="Yes"/>
  </r>
  <r>
    <s v="TX-SPCL"/>
    <s v="CU00"/>
    <s v="JRNL00454103"/>
    <s v="FI00-00000-280R-254N"/>
    <x v="9"/>
    <s v="00000"/>
    <s v="280R"/>
    <x v="0"/>
    <s v=""/>
    <n v="-22473"/>
    <s v="ADIT-Customer Based Intangibles"/>
    <s v=""/>
    <s v=""/>
    <s v="JRNL00454103"/>
    <x v="0"/>
    <d v="2018-01-31T00:00:00"/>
    <s v="Yes"/>
  </r>
  <r>
    <s v="TX-SPCL"/>
    <s v="CU00"/>
    <s v="JRNL00454103"/>
    <s v="FE00-00000-280R-254N"/>
    <x v="3"/>
    <s v="00000"/>
    <s v="280R"/>
    <x v="0"/>
    <s v=""/>
    <n v="48575"/>
    <s v="ADIT-Customer Based Intangibles"/>
    <s v=""/>
    <s v=""/>
    <s v="JRNL00454103"/>
    <x v="0"/>
    <d v="2018-01-31T00:00:00"/>
    <s v="Yes"/>
  </r>
  <r>
    <s v="TX-SPCL"/>
    <s v="CU00"/>
    <s v="JRNL00454103"/>
    <s v="WC00-00000-280R-254N"/>
    <x v="8"/>
    <s v="00000"/>
    <s v="280R"/>
    <x v="0"/>
    <s v=""/>
    <n v="-79"/>
    <s v="ADIT-Customer Based Intangibles"/>
    <s v=""/>
    <s v=""/>
    <s v="JRNL00454103"/>
    <x v="0"/>
    <d v="2018-01-31T00:00:00"/>
    <s v="Yes"/>
  </r>
  <r>
    <s v="TX-SPCL"/>
    <s v="CU00"/>
    <s v="JRNL00454103"/>
    <s v="CF00-00000-280R-254N"/>
    <x v="0"/>
    <s v="00000"/>
    <s v="280R"/>
    <x v="0"/>
    <s v=""/>
    <n v="98805"/>
    <s v="ADIT-Customer Based Intangibles"/>
    <s v=""/>
    <s v=""/>
    <s v="JRNL00454103"/>
    <x v="0"/>
    <d v="2018-01-31T00:00:00"/>
    <s v="Yes"/>
  </r>
  <r>
    <s v="TX-SPCL"/>
    <s v="CU00"/>
    <s v="JRNL00454103"/>
    <s v="FN00-00000-280R-254N"/>
    <x v="4"/>
    <s v="00000"/>
    <s v="280R"/>
    <x v="0"/>
    <s v=""/>
    <n v="-4866438"/>
    <s v="ADIT-Acquisition Adjustments"/>
    <s v=""/>
    <s v=""/>
    <s v="JRNL00454103"/>
    <x v="0"/>
    <d v="2018-01-31T00:00:00"/>
    <s v="Yes"/>
  </r>
  <r>
    <s v="TX-SPCL"/>
    <s v="CU00"/>
    <s v="JRNL00457708"/>
    <s v="CF00-00000-280R-254N"/>
    <x v="0"/>
    <s v="00000"/>
    <s v="280R"/>
    <x v="0"/>
    <s v=""/>
    <n v="25359"/>
    <s v="ADIT Excs Def ST Cash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15804"/>
    <s v="ADIT Excs Def ST Cash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5165"/>
    <s v="ADIT Excs Def LT Stock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209"/>
    <s v="ADIT Excs Def LT Cash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80856"/>
    <s v="ADIT Excs Def ST Cash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19273"/>
    <s v="ADIT Excs Def LT Stock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11383"/>
    <s v="ADIT Excs Def LT Cash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5581"/>
    <s v="ADIT Excs Def LT Cash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28667"/>
    <s v="ADIT Excs Def ST Cash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52692"/>
    <s v="ADIT Excs Def LT Stock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14395"/>
    <s v="ADIT Excs Def LT Cash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367"/>
    <s v="ADIT Excs Def ST Cash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14788"/>
    <s v="ADIT Excs Def LT Stock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41596"/>
    <s v="ADIT Excs Def LT Cash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367"/>
    <s v="ADIT Excs Def ST Cash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31454"/>
    <s v="ADIT Excs Def LT Stock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275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143432"/>
    <s v="ADIT Excs Def LT Stock-Reg Gross Up"/>
    <s v=""/>
    <s v=""/>
    <s v="JRNL00457709"/>
    <x v="1"/>
    <d v="2018-03-14T00:00:00"/>
    <s v="Yes"/>
  </r>
  <r>
    <s v="TX-SPCL"/>
    <s v="CU00"/>
    <s v="JRNL00457708"/>
    <s v="DE00-00000-280R-254N"/>
    <x v="1"/>
    <s v="00000"/>
    <s v="280R"/>
    <x v="0"/>
    <s v=""/>
    <n v="136603"/>
    <s v="ADIT Excs Def SERP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93741"/>
    <s v="ADIT Excs Def SERP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2719"/>
    <s v="ADIT Excs Def SERP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212066"/>
    <s v="ADIT Excs Def SERP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912064"/>
    <s v="ADIT Excs Def SERP-Reg Gross Up"/>
    <s v=""/>
    <s v=""/>
    <s v="JRNL00457709"/>
    <x v="1"/>
    <d v="2018-03-14T00:00:00"/>
    <s v="Yes"/>
  </r>
  <r>
    <s v="TX-SPCL"/>
    <s v="CU00"/>
    <s v="JRNL00457708"/>
    <s v="MD00-00000-280R-254N"/>
    <x v="6"/>
    <s v="00000"/>
    <s v="280R"/>
    <x v="0"/>
    <s v=""/>
    <n v="31793"/>
    <s v="ADIT Excs Def SERP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2142"/>
    <s v="ADIT Excs Def SERP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313713"/>
    <s v="ADIT Excs Def SERP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94444"/>
    <s v="ADIT Excs Def R Trust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384313"/>
    <s v="ADIT Excs Def R Trust-Reg Gross Up"/>
    <s v=""/>
    <s v=""/>
    <s v="JRNL00457709"/>
    <x v="1"/>
    <d v="2018-03-14T00:00:00"/>
    <s v="Yes"/>
  </r>
  <r>
    <s v="TX-SPCL"/>
    <s v="CU00"/>
    <s v="JRNL00457708"/>
    <s v="MD00-00000-280R-254N"/>
    <x v="6"/>
    <s v="00000"/>
    <s v="280R"/>
    <x v="0"/>
    <s v=""/>
    <n v="15039"/>
    <s v="ADIT Excs Def R Trust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35794"/>
    <s v="ADIT Excs Def R Trust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18384"/>
    <s v="ADIT Excs Def R Trust-Reg Gross Up"/>
    <s v=""/>
    <s v=""/>
    <s v="JRNL00457708"/>
    <x v="1"/>
    <d v="2018-03-14T00:00:00"/>
    <s v="Yes"/>
  </r>
  <r>
    <s v="TX-SPCL"/>
    <s v="CU00"/>
    <s v="JRNL00457708"/>
    <s v="DE00-00000-280R-254N"/>
    <x v="1"/>
    <s v="00000"/>
    <s v="280R"/>
    <x v="0"/>
    <s v=""/>
    <n v="43360"/>
    <s v="ADIT Excs Def R Trust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38201"/>
    <s v="ADIT Excs Def R Trust-Reg Gross Up"/>
    <s v=""/>
    <s v=""/>
    <s v="JRNL00457708"/>
    <x v="1"/>
    <d v="2018-03-14T00:00:00"/>
    <s v="Yes"/>
  </r>
  <r>
    <s v="TX-SPCL"/>
    <s v="CU00"/>
    <s v="JRNL00457708"/>
    <s v="ES00-00000-280R-254N"/>
    <x v="2"/>
    <s v="00000"/>
    <s v="280R"/>
    <x v="0"/>
    <s v=""/>
    <n v="136850"/>
    <s v="ADIT Excs Def R Trust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958"/>
    <s v="ADIT Excs Def R Trust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1283"/>
    <s v="ADIT Excs Def R Trust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65420"/>
    <s v="ADIT Excs Def ST Cash-Reg Gross Up"/>
    <s v=""/>
    <s v=""/>
    <s v="JRNL00457708"/>
    <x v="1"/>
    <d v="2018-03-14T00:00:00"/>
    <s v="Yes"/>
  </r>
  <r>
    <s v="TX-SPCL"/>
    <s v="CU00"/>
    <s v="JRNL00457708"/>
    <s v="FI00-00000-280R-254N"/>
    <x v="9"/>
    <s v="00000"/>
    <s v="280R"/>
    <x v="0"/>
    <s v=""/>
    <n v="502"/>
    <s v="ADIT Excs Def LT Stock-Reg Gross Up"/>
    <s v=""/>
    <s v=""/>
    <s v="JRNL00457708"/>
    <x v="1"/>
    <d v="2018-03-14T00:00:00"/>
    <s v="Yes"/>
  </r>
  <r>
    <s v="TX-SPCL"/>
    <s v="CU00"/>
    <s v="JRNL00457708"/>
    <s v="FE00-00000-280R-254N"/>
    <x v="3"/>
    <s v="00000"/>
    <s v="280R"/>
    <x v="0"/>
    <s v=""/>
    <n v="12930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271234"/>
    <s v="ADIT Excs Def ST Cash-Reg Gross Up"/>
    <s v=""/>
    <s v=""/>
    <s v="JRNL00457709"/>
    <x v="1"/>
    <d v="2018-03-14T00:00:00"/>
    <s v="Yes"/>
  </r>
  <r>
    <s v="TX-SPCL"/>
    <s v="CU00"/>
    <s v="JRNL00457708"/>
    <s v="DE00-00000-280R-254N"/>
    <x v="1"/>
    <s v="00000"/>
    <s v="280R"/>
    <x v="0"/>
    <s v=""/>
    <n v="38958"/>
    <s v="ADIT Excs Def ST Cash-Reg Gross Up"/>
    <s v=""/>
    <s v=""/>
    <s v="JRNL00457708"/>
    <x v="1"/>
    <d v="2018-03-14T00:00:00"/>
    <s v="Yes"/>
  </r>
  <r>
    <s v="TX-SPCL"/>
    <s v="CU00"/>
    <s v="JRNL00457708"/>
    <s v="CF00-00000-280R-254N"/>
    <x v="0"/>
    <s v="00000"/>
    <s v="280R"/>
    <x v="0"/>
    <s v=""/>
    <n v="13205"/>
    <s v="ADIT Excs Def LT Stock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5932"/>
    <s v="ADIT Excs Def LT Stock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5272"/>
    <s v="ADIT Excs Def LT Cash-Reg Gross Up"/>
    <s v=""/>
    <s v=""/>
    <s v="JRNL00457708"/>
    <x v="1"/>
    <d v="2018-03-14T00:00:00"/>
    <s v="Yes"/>
  </r>
  <r>
    <s v="TX-SPCL"/>
    <s v="CU00"/>
    <s v="JRNL00457708"/>
    <s v="MD00-00000-280R-254N"/>
    <x v="6"/>
    <s v="00000"/>
    <s v="280R"/>
    <x v="0"/>
    <s v=""/>
    <n v="15437"/>
    <s v="ADIT Excs Def ST Cash-Reg Gross Up"/>
    <s v=""/>
    <s v=""/>
    <s v="JRNL00457708"/>
    <x v="1"/>
    <d v="2018-03-14T00:00:00"/>
    <s v="Yes"/>
  </r>
  <r>
    <s v="TX-SPCL"/>
    <s v="CU00"/>
    <s v="JRNL00457708"/>
    <s v="FT00-00000-280R-254N"/>
    <x v="5"/>
    <s v="00000"/>
    <s v="280R"/>
    <x v="0"/>
    <s v=""/>
    <n v="421"/>
    <s v="ADIT Excs Def LT Stock-Reg Gross Up"/>
    <s v=""/>
    <s v=""/>
    <s v="JRNL00457708"/>
    <x v="1"/>
    <d v="2018-03-14T00:00:00"/>
    <s v="Yes"/>
  </r>
  <r>
    <s v="TX-SPCL"/>
    <s v="CU00"/>
    <s v="JRNL00457708"/>
    <s v="FN00-00000-280R-254N"/>
    <x v="4"/>
    <s v="00000"/>
    <s v="280R"/>
    <x v="0"/>
    <s v=""/>
    <n v="30603"/>
    <s v="ADIT Excs Def LT Cash-Reg Gross Up"/>
    <s v=""/>
    <s v=""/>
    <s v="JRNL00457708"/>
    <x v="1"/>
    <d v="2018-03-14T00:00:00"/>
    <s v="Yes"/>
  </r>
  <r>
    <s v="TX-SPCL"/>
    <s v="EL00"/>
    <s v="JRNL00457709"/>
    <s v="EL00-00000-280R-254N"/>
    <x v="10"/>
    <s v="00000"/>
    <s v="280R"/>
    <x v="0"/>
    <s v=""/>
    <n v="-122243"/>
    <s v="ADIT Excs Def LT Cash-Reg Gross Up"/>
    <s v=""/>
    <s v=""/>
    <s v="JRNL00457709"/>
    <x v="1"/>
    <d v="2018-03-14T00:00:00"/>
    <s v="Yes"/>
  </r>
  <r>
    <s v="TX-SPCL"/>
    <s v="CU00"/>
    <s v="JRNL00457708"/>
    <s v="CF00-00000-280R-254N"/>
    <x v="0"/>
    <s v="00000"/>
    <s v="280R"/>
    <x v="0"/>
    <s v=""/>
    <n v="82742"/>
    <s v="ADIT Excs Def SERP-Reg Gross Up"/>
    <s v=""/>
    <s v=""/>
    <s v="JRNL00457708"/>
    <x v="1"/>
    <d v="2018-03-14T00:00:00"/>
    <s v="Yes"/>
  </r>
  <r>
    <s v="TX-SPCL"/>
    <s v="CU00"/>
    <s v="JRNL00457708"/>
    <s v="WC00-00000-280R-254N"/>
    <x v="8"/>
    <s v="00000"/>
    <s v="280R"/>
    <x v="0"/>
    <s v=""/>
    <n v="36545"/>
    <s v="ADIT Excs Def SERP-Reg Gross Up"/>
    <s v=""/>
    <s v=""/>
    <s v="JRNL00457708"/>
    <x v="1"/>
    <d v="2018-03-14T00:00:00"/>
    <s v="Yes"/>
  </r>
  <r>
    <m/>
    <m/>
    <m/>
    <m/>
    <x v="11"/>
    <m/>
    <m/>
    <x v="2"/>
    <m/>
    <m/>
    <m/>
    <m/>
    <m/>
    <m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1">
  <r>
    <x v="0"/>
    <s v="CU00"/>
    <s v="JRNL00317954"/>
    <s v="FT00-00000-25DP-2822"/>
    <x v="0"/>
    <s v="00000"/>
    <x v="0"/>
    <s v="2822"/>
    <s v=""/>
    <n v="1000"/>
    <x v="0"/>
    <s v=""/>
    <s v=""/>
    <s v="JRNL00317954"/>
    <x v="0"/>
    <d v="2014-04-07T00:00:00"/>
    <s v="Yes"/>
  </r>
  <r>
    <x v="0"/>
    <s v="CU00"/>
    <s v="JRNL00333143"/>
    <s v="FT00-00000-25DP-2822"/>
    <x v="0"/>
    <s v="00000"/>
    <x v="0"/>
    <s v="2822"/>
    <s v=""/>
    <n v="-1000"/>
    <x v="1"/>
    <s v=""/>
    <s v=""/>
    <s v="JRNL00317954"/>
    <x v="1"/>
    <d v="2014-06-25T00:00:00"/>
    <s v="Yes"/>
  </r>
  <r>
    <x v="0"/>
    <s v="CU00"/>
    <s v="JRNL00333149"/>
    <s v="FT00-00000-25DP-2822"/>
    <x v="0"/>
    <s v="00000"/>
    <x v="0"/>
    <s v="2822"/>
    <s v=""/>
    <n v="2000"/>
    <x v="2"/>
    <s v=""/>
    <s v=""/>
    <s v="JRNL00333149"/>
    <x v="1"/>
    <d v="2014-06-25T00:00:00"/>
    <s v="Yes"/>
  </r>
  <r>
    <x v="0"/>
    <s v="CU00"/>
    <s v="JRNL00350724"/>
    <s v="FT00-00000-25DP-2822"/>
    <x v="0"/>
    <s v="00000"/>
    <x v="0"/>
    <s v="2822"/>
    <s v=""/>
    <n v="2000"/>
    <x v="3"/>
    <s v=""/>
    <s v=""/>
    <s v="JRNL00350724"/>
    <x v="2"/>
    <d v="2014-10-01T00:00:00"/>
    <s v="Yes"/>
  </r>
  <r>
    <x v="0"/>
    <s v="CU00"/>
    <s v="JRNL00350720"/>
    <s v="FT00-00000-25DP-2822"/>
    <x v="0"/>
    <s v="00000"/>
    <x v="0"/>
    <s v="2822"/>
    <s v=""/>
    <n v="-2000"/>
    <x v="4"/>
    <s v=""/>
    <s v=""/>
    <s v="JRNL00333149"/>
    <x v="2"/>
    <d v="2014-10-01T00:00:00"/>
    <s v="Yes"/>
  </r>
  <r>
    <x v="1"/>
    <s v="CU00"/>
    <s v="JRNL00364597"/>
    <s v="FT00-00000-25AM-2832"/>
    <x v="0"/>
    <s v="00000"/>
    <x v="1"/>
    <s v="2832"/>
    <s v=""/>
    <n v="-264"/>
    <x v="5"/>
    <s v=""/>
    <s v=""/>
    <s v="JRNL00364597"/>
    <x v="3"/>
    <d v="2014-12-10T00:00:00"/>
    <s v="Yes"/>
  </r>
  <r>
    <x v="1"/>
    <s v="CU00"/>
    <s v="JRNL00364666"/>
    <s v="FT00-00000-25AM-2832"/>
    <x v="0"/>
    <s v="00000"/>
    <x v="1"/>
    <s v="2832"/>
    <s v=""/>
    <n v="-372"/>
    <x v="6"/>
    <s v=""/>
    <s v=""/>
    <s v="JRNL00364666"/>
    <x v="3"/>
    <d v="2014-12-10T00:00:00"/>
    <s v="Yes"/>
  </r>
  <r>
    <x v="0"/>
    <s v="FT00"/>
    <s v="JRNL00373179"/>
    <s v="FT00-00000-25AM-2832"/>
    <x v="0"/>
    <s v="00000"/>
    <x v="1"/>
    <s v="2832"/>
    <s v=""/>
    <n v="-36429"/>
    <x v="7"/>
    <s v=""/>
    <s v=""/>
    <s v="JRNL00373179"/>
    <x v="4"/>
    <d v="2015-01-23T00:00:00"/>
    <s v="Yes"/>
  </r>
  <r>
    <x v="0"/>
    <s v="FT00"/>
    <s v="JRNL00373179"/>
    <s v="FT00-00000-25PG-2831"/>
    <x v="0"/>
    <s v="00000"/>
    <x v="2"/>
    <s v="2831"/>
    <s v=""/>
    <n v="-23346"/>
    <x v="8"/>
    <s v=""/>
    <s v=""/>
    <s v="JRNL00373179"/>
    <x v="4"/>
    <d v="2015-01-23T00:00:00"/>
    <s v="Yes"/>
  </r>
  <r>
    <x v="0"/>
    <s v="CU00"/>
    <s v="JRNL00368370"/>
    <s v="FT00-00000-25DP-2822"/>
    <x v="0"/>
    <s v="00000"/>
    <x v="0"/>
    <s v="2822"/>
    <s v=""/>
    <n v="-2000"/>
    <x v="9"/>
    <s v=""/>
    <s v=""/>
    <s v="JRNL00350724"/>
    <x v="4"/>
    <d v="2015-01-15T00:00:00"/>
    <s v="Yes"/>
  </r>
  <r>
    <x v="0"/>
    <s v="FT00"/>
    <s v="JRNL00373179"/>
    <s v="FT00-00000-25BN-2831"/>
    <x v="0"/>
    <s v="00000"/>
    <x v="3"/>
    <s v="2831"/>
    <s v=""/>
    <n v="4305"/>
    <x v="10"/>
    <s v=""/>
    <s v=""/>
    <s v="JRNL00373179"/>
    <x v="4"/>
    <d v="2015-01-23T00:00:00"/>
    <s v="Yes"/>
  </r>
  <r>
    <x v="0"/>
    <s v="FT00"/>
    <s v="JRNL00373179"/>
    <s v="FT00-00000-25BD-2831"/>
    <x v="0"/>
    <s v="00000"/>
    <x v="4"/>
    <s v="2831"/>
    <s v=""/>
    <n v="1579"/>
    <x v="11"/>
    <s v=""/>
    <s v=""/>
    <s v="JRNL00373179"/>
    <x v="4"/>
    <d v="2015-01-23T00:00:00"/>
    <s v="Yes"/>
  </r>
  <r>
    <x v="0"/>
    <s v="FT00"/>
    <s v="JRNL00373179"/>
    <s v="FT00-00000-25DP-2822"/>
    <x v="0"/>
    <s v="00000"/>
    <x v="0"/>
    <s v="2822"/>
    <s v=""/>
    <n v="-24480"/>
    <x v="12"/>
    <s v=""/>
    <s v=""/>
    <s v="JRNL00373179"/>
    <x v="4"/>
    <d v="2015-01-23T00:00:00"/>
    <s v="Yes"/>
  </r>
  <r>
    <x v="0"/>
    <s v="FT00"/>
    <s v="JRNL00373179"/>
    <s v="FT00-00000-25ID-2831"/>
    <x v="0"/>
    <s v="00000"/>
    <x v="5"/>
    <s v="2831"/>
    <s v=""/>
    <n v="-63"/>
    <x v="13"/>
    <s v=""/>
    <s v=""/>
    <s v="JRNL00373179"/>
    <x v="4"/>
    <d v="2015-01-23T00:00:00"/>
    <s v="Yes"/>
  </r>
  <r>
    <x v="0"/>
    <s v="FT00"/>
    <s v="JRNL00373179"/>
    <s v="FT00-00000-25CN-2831"/>
    <x v="0"/>
    <s v="00000"/>
    <x v="6"/>
    <s v="2831"/>
    <s v=""/>
    <n v="-6669"/>
    <x v="14"/>
    <s v=""/>
    <s v=""/>
    <s v="JRNL00373179"/>
    <x v="4"/>
    <d v="2015-01-23T00:00:00"/>
    <s v="Yes"/>
  </r>
  <r>
    <x v="0"/>
    <s v="FT00"/>
    <s v="JRNL00373179"/>
    <s v="FT00-00000-25DP-2822"/>
    <x v="0"/>
    <s v="00000"/>
    <x v="0"/>
    <s v="2822"/>
    <s v=""/>
    <n v="-1446"/>
    <x v="15"/>
    <s v=""/>
    <s v=""/>
    <s v="JRNL00373179"/>
    <x v="4"/>
    <d v="2015-01-23T00:00:00"/>
    <s v="Yes"/>
  </r>
  <r>
    <x v="0"/>
    <s v="CU00"/>
    <s v="JRNL00376458"/>
    <s v="FT00-00000-25AM-2832"/>
    <x v="0"/>
    <s v="00000"/>
    <x v="1"/>
    <s v="2832"/>
    <s v=""/>
    <n v="-9000"/>
    <x v="16"/>
    <s v=""/>
    <s v=""/>
    <s v="JRNL00376458"/>
    <x v="5"/>
    <d v="2015-03-17T00:00:00"/>
    <s v="Yes"/>
  </r>
  <r>
    <x v="0"/>
    <s v="CU00"/>
    <s v="JRNL00376458"/>
    <s v="FT00-00000-25BN-2831"/>
    <x v="0"/>
    <s v="00000"/>
    <x v="3"/>
    <s v="2831"/>
    <s v=""/>
    <n v="1000"/>
    <x v="17"/>
    <s v=""/>
    <s v=""/>
    <s v="JRNL00376458"/>
    <x v="5"/>
    <d v="2015-03-17T00:00:00"/>
    <s v="Yes"/>
  </r>
  <r>
    <x v="0"/>
    <s v="CU00"/>
    <s v="JRNL00376458"/>
    <s v="FT00-00000-25DP-2822"/>
    <x v="0"/>
    <s v="00000"/>
    <x v="0"/>
    <s v="2822"/>
    <s v=""/>
    <n v="2000"/>
    <x v="18"/>
    <s v=""/>
    <s v=""/>
    <s v="JRNL00376458"/>
    <x v="5"/>
    <d v="2015-03-17T00:00:00"/>
    <s v="Yes"/>
  </r>
  <r>
    <x v="0"/>
    <s v="CU00"/>
    <s v="JRNL00376458"/>
    <s v="FT00-00000-25PG-2831"/>
    <x v="0"/>
    <s v="00000"/>
    <x v="2"/>
    <s v="2831"/>
    <s v=""/>
    <n v="7000"/>
    <x v="19"/>
    <s v=""/>
    <s v=""/>
    <s v="JRNL00376458"/>
    <x v="5"/>
    <d v="2015-03-17T00:00:00"/>
    <s v="Yes"/>
  </r>
  <r>
    <x v="0"/>
    <s v="CU00"/>
    <s v="JRNL00376458"/>
    <s v="FT00-00000-25CN-2831"/>
    <x v="0"/>
    <s v="00000"/>
    <x v="6"/>
    <s v="2831"/>
    <s v=""/>
    <n v="-1000"/>
    <x v="20"/>
    <s v=""/>
    <s v=""/>
    <s v="JRNL00376458"/>
    <x v="5"/>
    <d v="2015-03-17T00:00:00"/>
    <s v="Yes"/>
  </r>
  <r>
    <x v="0"/>
    <s v="CU00"/>
    <s v="JRNL00382884"/>
    <s v="FT00-00000-25AM-2832"/>
    <x v="0"/>
    <s v="00000"/>
    <x v="1"/>
    <s v="2832"/>
    <s v=""/>
    <n v="9000"/>
    <x v="21"/>
    <s v=""/>
    <s v=""/>
    <s v="JRNL00376458"/>
    <x v="6"/>
    <d v="2015-07-07T00:00:00"/>
    <s v="Yes"/>
  </r>
  <r>
    <x v="0"/>
    <s v="CU00"/>
    <s v="JRNL00382888"/>
    <s v="FT00-00000-25AM-2832"/>
    <x v="0"/>
    <s v="00000"/>
    <x v="1"/>
    <s v="2832"/>
    <s v=""/>
    <n v="-18000"/>
    <x v="22"/>
    <s v=""/>
    <s v=""/>
    <s v="JRNL00382888"/>
    <x v="6"/>
    <d v="2015-07-07T00:00:00"/>
    <s v="Yes"/>
  </r>
  <r>
    <x v="0"/>
    <s v="CU00"/>
    <s v="JRNL00382884"/>
    <s v="FT00-00000-25DP-2822"/>
    <x v="0"/>
    <s v="00000"/>
    <x v="0"/>
    <s v="2822"/>
    <s v=""/>
    <n v="-2000"/>
    <x v="21"/>
    <s v=""/>
    <s v=""/>
    <s v="JRNL00376458"/>
    <x v="6"/>
    <d v="2015-07-07T00:00:00"/>
    <s v="Yes"/>
  </r>
  <r>
    <x v="0"/>
    <s v="CU00"/>
    <s v="JRNL00382884"/>
    <s v="FT00-00000-25CN-2831"/>
    <x v="0"/>
    <s v="00000"/>
    <x v="6"/>
    <s v="2831"/>
    <s v=""/>
    <n v="1000"/>
    <x v="21"/>
    <s v=""/>
    <s v=""/>
    <s v="JRNL00376458"/>
    <x v="6"/>
    <d v="2015-07-07T00:00:00"/>
    <s v="Yes"/>
  </r>
  <r>
    <x v="0"/>
    <s v="CU00"/>
    <s v="JRNL00382884"/>
    <s v="FT00-00000-25BN-2831"/>
    <x v="0"/>
    <s v="00000"/>
    <x v="3"/>
    <s v="2831"/>
    <s v=""/>
    <n v="-1000"/>
    <x v="21"/>
    <s v=""/>
    <s v=""/>
    <s v="JRNL00376458"/>
    <x v="6"/>
    <d v="2015-07-07T00:00:00"/>
    <s v="Yes"/>
  </r>
  <r>
    <x v="0"/>
    <s v="CU00"/>
    <s v="JRNL00382888"/>
    <s v="FT00-00000-25DP-2822"/>
    <x v="0"/>
    <s v="00000"/>
    <x v="0"/>
    <s v="2822"/>
    <s v=""/>
    <n v="2000"/>
    <x v="23"/>
    <s v=""/>
    <s v=""/>
    <s v="JRNL00382888"/>
    <x v="6"/>
    <d v="2015-07-07T00:00:00"/>
    <s v="Yes"/>
  </r>
  <r>
    <x v="0"/>
    <s v="CU00"/>
    <s v="JRNL00382884"/>
    <s v="FT00-00000-25PG-2831"/>
    <x v="0"/>
    <s v="00000"/>
    <x v="2"/>
    <s v="2831"/>
    <s v=""/>
    <n v="-7000"/>
    <x v="21"/>
    <s v=""/>
    <s v=""/>
    <s v="JRNL00376458"/>
    <x v="6"/>
    <d v="2015-07-07T00:00:00"/>
    <s v="Yes"/>
  </r>
  <r>
    <x v="0"/>
    <s v="CU00"/>
    <s v="JRNL00382888"/>
    <s v="FT00-00000-25PG-2831"/>
    <x v="0"/>
    <s v="00000"/>
    <x v="2"/>
    <s v="2831"/>
    <s v=""/>
    <n v="14000"/>
    <x v="24"/>
    <s v=""/>
    <s v=""/>
    <s v="JRNL00382888"/>
    <x v="6"/>
    <d v="2015-07-07T00:00:00"/>
    <s v="Yes"/>
  </r>
  <r>
    <x v="0"/>
    <s v="CU00"/>
    <s v="JRNL00382888"/>
    <s v="FT00-00000-25CN-2831"/>
    <x v="0"/>
    <s v="00000"/>
    <x v="6"/>
    <s v="2831"/>
    <s v=""/>
    <n v="3000"/>
    <x v="25"/>
    <s v=""/>
    <s v=""/>
    <s v="JRNL00382888"/>
    <x v="6"/>
    <d v="2015-07-07T00:00:00"/>
    <s v="Yes"/>
  </r>
  <r>
    <x v="0"/>
    <s v="CU00"/>
    <s v="JRNL00382888"/>
    <s v="FT00-00000-25BN-2831"/>
    <x v="0"/>
    <s v="00000"/>
    <x v="3"/>
    <s v="2831"/>
    <s v=""/>
    <n v="2000"/>
    <x v="26"/>
    <s v=""/>
    <s v=""/>
    <s v="JRNL00382888"/>
    <x v="6"/>
    <d v="2015-07-07T00:00:00"/>
    <s v="Yes"/>
  </r>
  <r>
    <x v="0"/>
    <s v="CU00"/>
    <s v="JRNL00389735"/>
    <s v="FT00-00000-25AM-2832"/>
    <x v="0"/>
    <s v="00000"/>
    <x v="1"/>
    <s v="2832"/>
    <s v=""/>
    <n v="-27000"/>
    <x v="27"/>
    <s v=""/>
    <s v=""/>
    <s v="JRNL00389735"/>
    <x v="7"/>
    <d v="2015-10-08T00:00:00"/>
    <s v="Yes"/>
  </r>
  <r>
    <x v="0"/>
    <s v="CU00"/>
    <s v="JRNL00389676"/>
    <s v="FT00-00000-25AM-2832"/>
    <x v="0"/>
    <s v="00000"/>
    <x v="1"/>
    <s v="2832"/>
    <s v=""/>
    <n v="18000"/>
    <x v="28"/>
    <s v=""/>
    <s v=""/>
    <s v="JRNL00382888"/>
    <x v="7"/>
    <d v="2015-10-08T00:00:00"/>
    <s v="Yes"/>
  </r>
  <r>
    <x v="0"/>
    <s v="CU00"/>
    <s v="JRNL00389676"/>
    <s v="FT00-00000-25PG-2831"/>
    <x v="0"/>
    <s v="00000"/>
    <x v="2"/>
    <s v="2831"/>
    <s v=""/>
    <n v="-14000"/>
    <x v="28"/>
    <s v=""/>
    <s v=""/>
    <s v="JRNL00382888"/>
    <x v="7"/>
    <d v="2015-10-08T00:00:00"/>
    <s v="Yes"/>
  </r>
  <r>
    <x v="0"/>
    <s v="CU00"/>
    <s v="JRNL00389735"/>
    <s v="FT00-00000-25CN-2831"/>
    <x v="0"/>
    <s v="00000"/>
    <x v="6"/>
    <s v="2831"/>
    <s v=""/>
    <n v="5000"/>
    <x v="29"/>
    <s v=""/>
    <s v=""/>
    <s v="JRNL00389735"/>
    <x v="7"/>
    <d v="2015-10-08T00:00:00"/>
    <s v="Yes"/>
  </r>
  <r>
    <x v="0"/>
    <s v="CU00"/>
    <s v="JRNL00389735"/>
    <s v="FT00-00000-25PG-2831"/>
    <x v="0"/>
    <s v="00000"/>
    <x v="2"/>
    <s v="2831"/>
    <s v=""/>
    <n v="21000"/>
    <x v="30"/>
    <s v=""/>
    <s v=""/>
    <s v="JRNL00389735"/>
    <x v="7"/>
    <d v="2015-10-08T00:00:00"/>
    <s v="Yes"/>
  </r>
  <r>
    <x v="0"/>
    <s v="CU00"/>
    <s v="JRNL00389735"/>
    <s v="FT00-00000-25BN-2831"/>
    <x v="0"/>
    <s v="00000"/>
    <x v="3"/>
    <s v="2831"/>
    <s v=""/>
    <n v="3000"/>
    <x v="31"/>
    <s v=""/>
    <s v=""/>
    <s v="JRNL00389735"/>
    <x v="7"/>
    <d v="2015-10-08T00:00:00"/>
    <s v="Yes"/>
  </r>
  <r>
    <x v="0"/>
    <s v="CU00"/>
    <s v="JRNL00389676"/>
    <s v="FT00-00000-25DP-2822"/>
    <x v="0"/>
    <s v="00000"/>
    <x v="0"/>
    <s v="2822"/>
    <s v=""/>
    <n v="-2000"/>
    <x v="28"/>
    <s v=""/>
    <s v=""/>
    <s v="JRNL00382888"/>
    <x v="7"/>
    <d v="2015-10-08T00:00:00"/>
    <s v="Yes"/>
  </r>
  <r>
    <x v="0"/>
    <s v="CU00"/>
    <s v="JRNL00389676"/>
    <s v="FT00-00000-25CN-2831"/>
    <x v="0"/>
    <s v="00000"/>
    <x v="6"/>
    <s v="2831"/>
    <s v=""/>
    <n v="-3000"/>
    <x v="28"/>
    <s v=""/>
    <s v=""/>
    <s v="JRNL00382888"/>
    <x v="7"/>
    <d v="2015-10-08T00:00:00"/>
    <s v="Yes"/>
  </r>
  <r>
    <x v="0"/>
    <s v="CU00"/>
    <s v="JRNL00389676"/>
    <s v="FT00-00000-25BN-2831"/>
    <x v="0"/>
    <s v="00000"/>
    <x v="3"/>
    <s v="2831"/>
    <s v=""/>
    <n v="-2000"/>
    <x v="28"/>
    <s v=""/>
    <s v=""/>
    <s v="JRNL00382888"/>
    <x v="7"/>
    <d v="2015-10-08T00:00:00"/>
    <s v="Yes"/>
  </r>
  <r>
    <x v="0"/>
    <s v="CU00"/>
    <s v="JRNL00389735"/>
    <s v="FT00-00000-25DP-2822"/>
    <x v="0"/>
    <s v="00000"/>
    <x v="0"/>
    <s v="2822"/>
    <s v=""/>
    <n v="2000"/>
    <x v="32"/>
    <s v=""/>
    <s v=""/>
    <s v="JRNL00389735"/>
    <x v="7"/>
    <d v="2015-10-08T00:00:00"/>
    <s v="Yes"/>
  </r>
  <r>
    <x v="0"/>
    <s v="CU00"/>
    <s v="JRNL00396403"/>
    <s v="FT00-00000-25AM-2832"/>
    <x v="0"/>
    <s v="00000"/>
    <x v="1"/>
    <s v="2832"/>
    <s v=""/>
    <n v="27000"/>
    <x v="33"/>
    <s v=""/>
    <s v=""/>
    <s v="JRNL00389735"/>
    <x v="8"/>
    <d v="2016-01-14T00:00:00"/>
    <s v="Yes"/>
  </r>
  <r>
    <x v="0"/>
    <s v="FT00"/>
    <s v="JRNL00397732"/>
    <s v="FT00-00000-25AM-2832"/>
    <x v="0"/>
    <s v="00000"/>
    <x v="1"/>
    <s v="2832"/>
    <s v=""/>
    <n v="-36432"/>
    <x v="34"/>
    <s v=""/>
    <s v=""/>
    <s v="JRNL00397732"/>
    <x v="8"/>
    <d v="2016-01-28T00:00:00"/>
    <s v="Yes"/>
  </r>
  <r>
    <x v="0"/>
    <s v="FT00"/>
    <s v="JRNL00398198"/>
    <s v="FT00-00000-25AM-2832"/>
    <x v="0"/>
    <s v="00000"/>
    <x v="1"/>
    <s v="2832"/>
    <s v=""/>
    <n v="18071"/>
    <x v="34"/>
    <s v=""/>
    <s v=""/>
    <s v="JRNL00398198"/>
    <x v="8"/>
    <d v="2016-02-05T00:00:00"/>
    <s v="Yes"/>
  </r>
  <r>
    <x v="0"/>
    <s v="FT00"/>
    <s v="JRNL00397732"/>
    <s v="FT00-00000-25PG-2831"/>
    <x v="0"/>
    <s v="00000"/>
    <x v="2"/>
    <s v="2831"/>
    <s v=""/>
    <n v="-20892"/>
    <x v="8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5"/>
    <s v=""/>
    <s v=""/>
    <s v="JRNL00394882"/>
    <x v="8"/>
    <d v="2016-01-14T00:00:00"/>
    <s v="Yes"/>
  </r>
  <r>
    <x v="0"/>
    <s v="FT00"/>
    <s v="JRNL00397732"/>
    <s v="FT00-00000-25BD-2831"/>
    <x v="0"/>
    <s v="00000"/>
    <x v="4"/>
    <s v="2831"/>
    <s v=""/>
    <n v="-975"/>
    <x v="11"/>
    <s v=""/>
    <s v=""/>
    <s v="JRNL00397732"/>
    <x v="8"/>
    <d v="2016-01-28T00:00:00"/>
    <s v="Yes"/>
  </r>
  <r>
    <x v="0"/>
    <s v="CU00"/>
    <s v="JRNL00396403"/>
    <s v="FT00-00000-25DP-2822"/>
    <x v="0"/>
    <s v="00000"/>
    <x v="0"/>
    <s v="2822"/>
    <s v=""/>
    <n v="-2000"/>
    <x v="33"/>
    <s v=""/>
    <s v=""/>
    <s v="JRNL00389735"/>
    <x v="8"/>
    <d v="2016-01-14T00:00:00"/>
    <s v="Yes"/>
  </r>
  <r>
    <x v="0"/>
    <s v="CU00"/>
    <s v="JRNL00396403"/>
    <s v="FT00-00000-25CN-2831"/>
    <x v="0"/>
    <s v="00000"/>
    <x v="6"/>
    <s v="2831"/>
    <s v=""/>
    <n v="-5000"/>
    <x v="33"/>
    <s v=""/>
    <s v=""/>
    <s v="JRNL00389735"/>
    <x v="8"/>
    <d v="2016-01-14T00:00:00"/>
    <s v="Yes"/>
  </r>
  <r>
    <x v="0"/>
    <s v="CU00"/>
    <s v="JRNL00396403"/>
    <s v="FT00-00000-25BN-2831"/>
    <x v="0"/>
    <s v="00000"/>
    <x v="3"/>
    <s v="2831"/>
    <s v=""/>
    <n v="-3000"/>
    <x v="33"/>
    <s v=""/>
    <s v=""/>
    <s v="JRNL00389735"/>
    <x v="8"/>
    <d v="2016-01-14T00:00:00"/>
    <s v="Yes"/>
  </r>
  <r>
    <x v="0"/>
    <s v="FT00"/>
    <s v="JRNL00397732"/>
    <s v="FT00-00000-25BN-2831"/>
    <x v="0"/>
    <s v="00000"/>
    <x v="3"/>
    <s v="2831"/>
    <s v=""/>
    <n v="-4306"/>
    <x v="10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6"/>
    <s v=""/>
    <s v=""/>
    <s v="JRNL00394882"/>
    <x v="8"/>
    <d v="2016-01-14T00:00:00"/>
    <s v="Yes"/>
  </r>
  <r>
    <x v="0"/>
    <s v="CU00"/>
    <s v="JRNL00396403"/>
    <s v="FT00-00000-25PG-2831"/>
    <x v="0"/>
    <s v="00000"/>
    <x v="2"/>
    <s v="2831"/>
    <s v=""/>
    <n v="-21000"/>
    <x v="33"/>
    <s v=""/>
    <s v=""/>
    <s v="JRNL00389735"/>
    <x v="8"/>
    <d v="2016-01-14T00:00:00"/>
    <s v="Yes"/>
  </r>
  <r>
    <x v="0"/>
    <s v="FT00"/>
    <s v="JRNL00397732"/>
    <s v="FT00-00000-25DP-2822"/>
    <x v="0"/>
    <s v="00000"/>
    <x v="0"/>
    <s v="2822"/>
    <s v=""/>
    <n v="-9623"/>
    <x v="12"/>
    <s v=""/>
    <s v=""/>
    <s v="JRNL00397732"/>
    <x v="8"/>
    <d v="2016-01-28T00:00:00"/>
    <s v="Yes"/>
  </r>
  <r>
    <x v="0"/>
    <s v="FT00"/>
    <s v="JRNL00398514"/>
    <s v="FT00-00000-25DP-2822"/>
    <x v="0"/>
    <s v="00000"/>
    <x v="0"/>
    <s v="2822"/>
    <s v=""/>
    <n v="366"/>
    <x v="12"/>
    <s v=""/>
    <s v=""/>
    <s v="JRNL00398514"/>
    <x v="8"/>
    <d v="2016-02-05T00:00:00"/>
    <s v="Yes"/>
  </r>
  <r>
    <x v="0"/>
    <s v="FT00"/>
    <s v="JRNL00397732"/>
    <s v="FT00-00000-25CN-2831"/>
    <x v="0"/>
    <s v="00000"/>
    <x v="6"/>
    <s v="2831"/>
    <s v=""/>
    <n v="-3035"/>
    <x v="14"/>
    <s v=""/>
    <s v=""/>
    <s v="JRNL00397732"/>
    <x v="8"/>
    <d v="2016-01-28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8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DP-2822"/>
    <x v="0"/>
    <s v="00000"/>
    <x v="0"/>
    <s v="2822"/>
    <s v=""/>
    <n v="0"/>
    <x v="37"/>
    <s v=""/>
    <s v=""/>
    <s v="JRNL00394882"/>
    <x v="8"/>
    <d v="2016-01-14T00:00:00"/>
    <s v="Yes"/>
  </r>
  <r>
    <x v="0"/>
    <s v="FT00"/>
    <s v="JRNL00397732"/>
    <s v="FT00-00000-25ID-2831"/>
    <x v="0"/>
    <s v="00000"/>
    <x v="5"/>
    <s v="2831"/>
    <s v=""/>
    <n v="-305"/>
    <x v="13"/>
    <s v=""/>
    <s v=""/>
    <s v="JRNL00397732"/>
    <x v="8"/>
    <d v="2016-01-28T00:00:00"/>
    <s v="Yes"/>
  </r>
  <r>
    <x v="1"/>
    <s v="CU00"/>
    <s v="JRNL00394882"/>
    <s v="FT00-00000-25RE-2822"/>
    <x v="0"/>
    <s v="00000"/>
    <x v="7"/>
    <s v="2822"/>
    <s v=""/>
    <n v="0"/>
    <x v="37"/>
    <s v=""/>
    <s v=""/>
    <s v="JRNL00394882"/>
    <x v="8"/>
    <d v="2016-01-14T00:00:00"/>
    <s v="Yes"/>
  </r>
  <r>
    <x v="1"/>
    <s v="CU00"/>
    <s v="JRNL00394882"/>
    <s v="FT00-00000-25SL-2832"/>
    <x v="0"/>
    <s v="00000"/>
    <x v="8"/>
    <s v="2832"/>
    <s v=""/>
    <n v="0"/>
    <x v="37"/>
    <s v=""/>
    <s v=""/>
    <s v="JRNL00394882"/>
    <x v="8"/>
    <d v="2016-01-14T00:00:00"/>
    <s v="Yes"/>
  </r>
  <r>
    <x v="1"/>
    <s v="CU00"/>
    <s v="JRNL00394882"/>
    <s v="FT00-00000-25RE-2822"/>
    <x v="0"/>
    <s v="00000"/>
    <x v="7"/>
    <s v="2822"/>
    <s v=""/>
    <n v="0"/>
    <x v="39"/>
    <s v=""/>
    <s v=""/>
    <s v="JRNL00394882"/>
    <x v="8"/>
    <d v="2016-01-14T00:00:00"/>
    <s v="Yes"/>
  </r>
  <r>
    <x v="1"/>
    <s v="CU00"/>
    <s v="JRNL00394882"/>
    <s v="FT00-00000-25SL-2832"/>
    <x v="0"/>
    <s v="00000"/>
    <x v="8"/>
    <s v="2832"/>
    <s v=""/>
    <n v="0"/>
    <x v="40"/>
    <s v=""/>
    <s v=""/>
    <s v="JRNL00394882"/>
    <x v="8"/>
    <d v="2016-01-14T00:00:00"/>
    <s v="Yes"/>
  </r>
  <r>
    <x v="0"/>
    <s v="CU00"/>
    <s v="JRNL00403771"/>
    <s v="FT00-00000-25AM-2832"/>
    <x v="0"/>
    <s v="00000"/>
    <x v="1"/>
    <s v="2832"/>
    <s v=""/>
    <n v="-4590"/>
    <x v="41"/>
    <s v=""/>
    <s v=""/>
    <s v="JRNL00403771"/>
    <x v="9"/>
    <d v="2016-04-11T00:00:00"/>
    <s v="Yes"/>
  </r>
  <r>
    <x v="0"/>
    <s v="CU00"/>
    <s v="JRNL00403771"/>
    <s v="FT00-00000-25BN-2831"/>
    <x v="0"/>
    <s v="00000"/>
    <x v="3"/>
    <s v="2831"/>
    <s v=""/>
    <n v="-1076"/>
    <x v="41"/>
    <s v=""/>
    <s v=""/>
    <s v="JRNL00403771"/>
    <x v="9"/>
    <d v="2016-04-11T00:00:00"/>
    <s v="Yes"/>
  </r>
  <r>
    <x v="0"/>
    <s v="CU00"/>
    <s v="JRNL00403771"/>
    <s v="FT00-00000-25CN-2831"/>
    <x v="0"/>
    <s v="00000"/>
    <x v="6"/>
    <s v="2831"/>
    <s v=""/>
    <n v="12769"/>
    <x v="41"/>
    <s v=""/>
    <s v=""/>
    <s v="JRNL00403771"/>
    <x v="9"/>
    <d v="2016-04-11T00:00:00"/>
    <s v="Yes"/>
  </r>
  <r>
    <x v="0"/>
    <s v="CU00"/>
    <s v="JRNL00403771"/>
    <s v="FT00-00000-25DP-2822"/>
    <x v="0"/>
    <s v="00000"/>
    <x v="0"/>
    <s v="2822"/>
    <s v=""/>
    <n v="-271"/>
    <x v="41"/>
    <s v=""/>
    <s v=""/>
    <s v="JRNL00403771"/>
    <x v="9"/>
    <d v="2016-04-11T00:00:00"/>
    <s v="Yes"/>
  </r>
  <r>
    <x v="0"/>
    <s v="CU00"/>
    <s v="JRNL00403771"/>
    <s v="FT00-00000-25DP-2822"/>
    <x v="0"/>
    <s v="00000"/>
    <x v="0"/>
    <s v="2822"/>
    <s v=""/>
    <n v="46"/>
    <x v="41"/>
    <s v=""/>
    <s v=""/>
    <s v="JRNL00403771"/>
    <x v="9"/>
    <d v="2016-04-11T00:00:00"/>
    <s v="Yes"/>
  </r>
  <r>
    <x v="0"/>
    <s v="CU00"/>
    <s v="JRNL00410513"/>
    <s v="FT00-00000-25AM-2832"/>
    <x v="0"/>
    <s v="00000"/>
    <x v="1"/>
    <s v="2832"/>
    <s v=""/>
    <n v="-9181"/>
    <x v="7"/>
    <s v=""/>
    <s v=""/>
    <s v="JRNL00410513"/>
    <x v="10"/>
    <d v="2016-07-12T00:00:00"/>
    <s v="Yes"/>
  </r>
  <r>
    <x v="0"/>
    <s v="CU00"/>
    <s v="JRNL00409083"/>
    <s v="FT00-00000-25AM-2832"/>
    <x v="0"/>
    <s v="00000"/>
    <x v="1"/>
    <s v="2832"/>
    <s v=""/>
    <n v="4590"/>
    <x v="42"/>
    <s v=""/>
    <s v=""/>
    <s v="JRNL00403771"/>
    <x v="10"/>
    <d v="2016-07-11T00:00:00"/>
    <s v="Yes"/>
  </r>
  <r>
    <x v="0"/>
    <s v="CU00"/>
    <s v="JRNL00409083"/>
    <s v="FT00-00000-25BN-2831"/>
    <x v="0"/>
    <s v="00000"/>
    <x v="3"/>
    <s v="2831"/>
    <s v=""/>
    <n v="1076"/>
    <x v="42"/>
    <s v=""/>
    <s v=""/>
    <s v="JRNL00403771"/>
    <x v="10"/>
    <d v="2016-07-11T00:00:00"/>
    <s v="Yes"/>
  </r>
  <r>
    <x v="0"/>
    <s v="CU00"/>
    <s v="JRNL00409083"/>
    <s v="FT00-00000-25CN-2831"/>
    <x v="0"/>
    <s v="00000"/>
    <x v="6"/>
    <s v="2831"/>
    <s v=""/>
    <n v="-12769"/>
    <x v="42"/>
    <s v=""/>
    <s v=""/>
    <s v="JRNL00403771"/>
    <x v="10"/>
    <d v="2016-07-11T00:00:00"/>
    <s v="Yes"/>
  </r>
  <r>
    <x v="0"/>
    <s v="CU00"/>
    <s v="JRNL00409083"/>
    <s v="FT00-00000-25DP-2822"/>
    <x v="0"/>
    <s v="00000"/>
    <x v="0"/>
    <s v="2822"/>
    <s v=""/>
    <n v="271"/>
    <x v="42"/>
    <s v=""/>
    <s v=""/>
    <s v="JRNL00403771"/>
    <x v="10"/>
    <d v="2016-07-11T00:00:00"/>
    <s v="Yes"/>
  </r>
  <r>
    <x v="0"/>
    <s v="CU00"/>
    <s v="JRNL00410513"/>
    <s v="FT00-00000-25BD-2831"/>
    <x v="0"/>
    <s v="00000"/>
    <x v="4"/>
    <s v="2831"/>
    <s v=""/>
    <n v="162"/>
    <x v="11"/>
    <s v=""/>
    <s v=""/>
    <s v="JRNL00410513"/>
    <x v="10"/>
    <d v="2016-07-12T00:00:00"/>
    <s v="Yes"/>
  </r>
  <r>
    <x v="0"/>
    <s v="CU00"/>
    <s v="JRNL00410513"/>
    <s v="FT00-00000-25DP-2822"/>
    <x v="0"/>
    <s v="00000"/>
    <x v="0"/>
    <s v="2822"/>
    <s v=""/>
    <n v="-541"/>
    <x v="12"/>
    <s v=""/>
    <s v=""/>
    <s v="JRNL00410513"/>
    <x v="10"/>
    <d v="2016-07-12T00:00:00"/>
    <s v="Yes"/>
  </r>
  <r>
    <x v="0"/>
    <s v="CU00"/>
    <s v="JRNL00409083"/>
    <s v="FT00-00000-25DP-2822"/>
    <x v="0"/>
    <s v="00000"/>
    <x v="0"/>
    <s v="2822"/>
    <s v=""/>
    <n v="-46"/>
    <x v="42"/>
    <s v=""/>
    <s v=""/>
    <s v="JRNL00403771"/>
    <x v="10"/>
    <d v="2016-07-11T00:00:00"/>
    <s v="Yes"/>
  </r>
  <r>
    <x v="0"/>
    <s v="CU00"/>
    <s v="JRNL00410513"/>
    <s v="FT00-00000-25ID-2831"/>
    <x v="0"/>
    <s v="00000"/>
    <x v="5"/>
    <s v="2831"/>
    <s v=""/>
    <n v="272"/>
    <x v="13"/>
    <s v=""/>
    <s v=""/>
    <s v="JRNL00410513"/>
    <x v="10"/>
    <d v="2016-07-12T00:00:00"/>
    <s v="Yes"/>
  </r>
  <r>
    <x v="0"/>
    <s v="CU00"/>
    <s v="JRNL00410513"/>
    <s v="FT00-00000-25BN-2831"/>
    <x v="0"/>
    <s v="00000"/>
    <x v="3"/>
    <s v="2831"/>
    <s v=""/>
    <n v="-2153"/>
    <x v="43"/>
    <s v=""/>
    <s v=""/>
    <s v="JRNL00410513"/>
    <x v="10"/>
    <d v="2016-07-12T00:00:00"/>
    <s v="Yes"/>
  </r>
  <r>
    <x v="0"/>
    <s v="CU00"/>
    <s v="JRNL00410513"/>
    <s v="FT00-00000-25CN-2831"/>
    <x v="0"/>
    <s v="00000"/>
    <x v="6"/>
    <s v="2831"/>
    <s v=""/>
    <n v="4837"/>
    <x v="14"/>
    <s v=""/>
    <s v=""/>
    <s v="JRNL00410513"/>
    <x v="10"/>
    <d v="2016-07-12T00:00:00"/>
    <s v="Yes"/>
  </r>
  <r>
    <x v="0"/>
    <s v="CU00"/>
    <s v="JRNL00416359"/>
    <s v="FT00-00000-25AM-2832"/>
    <x v="0"/>
    <s v="00000"/>
    <x v="1"/>
    <s v="2832"/>
    <s v=""/>
    <n v="9181"/>
    <x v="4"/>
    <s v=""/>
    <s v=""/>
    <s v="JRNL00410513"/>
    <x v="11"/>
    <d v="2016-10-12T00:00:00"/>
    <s v="Yes"/>
  </r>
  <r>
    <x v="0"/>
    <s v="CU00"/>
    <s v="JRNL00417381"/>
    <s v="FT00-00000-25AM-2832"/>
    <x v="0"/>
    <s v="00000"/>
    <x v="1"/>
    <s v="2832"/>
    <s v=""/>
    <n v="-13771"/>
    <x v="7"/>
    <s v=""/>
    <s v=""/>
    <s v="JRNL00417381"/>
    <x v="11"/>
    <d v="2016-10-12T00:00:00"/>
    <s v="Yes"/>
  </r>
  <r>
    <x v="0"/>
    <s v="CU00"/>
    <s v="JRNL00416359"/>
    <s v="FT00-00000-25BD-2831"/>
    <x v="0"/>
    <s v="00000"/>
    <x v="4"/>
    <s v="2831"/>
    <s v=""/>
    <n v="-162"/>
    <x v="4"/>
    <s v=""/>
    <s v=""/>
    <s v="JRNL00410513"/>
    <x v="11"/>
    <d v="2016-10-12T00:00:00"/>
    <s v="Yes"/>
  </r>
  <r>
    <x v="0"/>
    <s v="CU00"/>
    <s v="JRNL00416359"/>
    <s v="FT00-00000-25BN-2831"/>
    <x v="0"/>
    <s v="00000"/>
    <x v="3"/>
    <s v="2831"/>
    <s v=""/>
    <n v="2153"/>
    <x v="4"/>
    <s v=""/>
    <s v=""/>
    <s v="JRNL00410513"/>
    <x v="11"/>
    <d v="2016-10-12T00:00:00"/>
    <s v="Yes"/>
  </r>
  <r>
    <x v="0"/>
    <s v="CU00"/>
    <s v="JRNL00416359"/>
    <s v="FT00-00000-25CN-2831"/>
    <x v="0"/>
    <s v="00000"/>
    <x v="6"/>
    <s v="2831"/>
    <s v=""/>
    <n v="-4837"/>
    <x v="4"/>
    <s v=""/>
    <s v=""/>
    <s v="JRNL00410513"/>
    <x v="11"/>
    <d v="2016-10-12T00:00:00"/>
    <s v="Yes"/>
  </r>
  <r>
    <x v="0"/>
    <s v="CU00"/>
    <s v="JRNL00416359"/>
    <s v="FT00-00000-25DP-2822"/>
    <x v="0"/>
    <s v="00000"/>
    <x v="0"/>
    <s v="2822"/>
    <s v=""/>
    <n v="541"/>
    <x v="4"/>
    <s v=""/>
    <s v=""/>
    <s v="JRNL00410513"/>
    <x v="11"/>
    <d v="2016-10-12T00:00:00"/>
    <s v="Yes"/>
  </r>
  <r>
    <x v="0"/>
    <s v="CU00"/>
    <s v="JRNL00416359"/>
    <s v="FT00-00000-25ID-2831"/>
    <x v="0"/>
    <s v="00000"/>
    <x v="5"/>
    <s v="2831"/>
    <s v=""/>
    <n v="-272"/>
    <x v="4"/>
    <s v=""/>
    <s v=""/>
    <s v="JRNL00410513"/>
    <x v="11"/>
    <d v="2016-10-12T00:00:00"/>
    <s v="Yes"/>
  </r>
  <r>
    <x v="0"/>
    <s v="CU00"/>
    <s v="JRNL00417381"/>
    <s v="FT00-00000-25ID-2831"/>
    <x v="0"/>
    <s v="00000"/>
    <x v="5"/>
    <s v="2831"/>
    <s v=""/>
    <n v="-90"/>
    <x v="13"/>
    <s v=""/>
    <s v=""/>
    <s v="JRNL00417381"/>
    <x v="11"/>
    <d v="2016-10-12T00:00:00"/>
    <s v="Yes"/>
  </r>
  <r>
    <x v="0"/>
    <s v="CU00"/>
    <s v="JRNL00417381"/>
    <s v="FT00-00000-25BD-2831"/>
    <x v="0"/>
    <s v="00000"/>
    <x v="4"/>
    <s v="2831"/>
    <s v=""/>
    <n v="361"/>
    <x v="11"/>
    <s v=""/>
    <s v=""/>
    <s v="JRNL00417381"/>
    <x v="11"/>
    <d v="2016-10-12T00:00:00"/>
    <s v="Yes"/>
  </r>
  <r>
    <x v="0"/>
    <s v="CU00"/>
    <s v="JRNL00417381"/>
    <s v="FT00-00000-25BN-2831"/>
    <x v="0"/>
    <s v="00000"/>
    <x v="3"/>
    <s v="2831"/>
    <s v=""/>
    <n v="-3229"/>
    <x v="43"/>
    <s v=""/>
    <s v=""/>
    <s v="JRNL00417381"/>
    <x v="11"/>
    <d v="2016-10-12T00:00:00"/>
    <s v="Yes"/>
  </r>
  <r>
    <x v="0"/>
    <s v="CU00"/>
    <s v="JRNL00417381"/>
    <s v="FT00-00000-25CN-2831"/>
    <x v="0"/>
    <s v="00000"/>
    <x v="6"/>
    <s v="2831"/>
    <s v=""/>
    <n v="5053"/>
    <x v="14"/>
    <s v=""/>
    <s v=""/>
    <s v="JRNL00417381"/>
    <x v="11"/>
    <d v="2016-10-12T00:00:00"/>
    <s v="Yes"/>
  </r>
  <r>
    <x v="0"/>
    <s v="CU00"/>
    <s v="JRNL00417381"/>
    <s v="FT00-00000-25DP-2822"/>
    <x v="0"/>
    <s v="00000"/>
    <x v="0"/>
    <s v="2822"/>
    <s v=""/>
    <n v="-812"/>
    <x v="12"/>
    <s v=""/>
    <s v=""/>
    <s v="JRNL00417381"/>
    <x v="11"/>
    <d v="2016-10-12T00:00:00"/>
    <s v="Yes"/>
  </r>
  <r>
    <x v="0"/>
    <s v="CU00"/>
    <s v="JRNL00417381"/>
    <s v="FT00-00000-25DP-2822"/>
    <x v="0"/>
    <s v="00000"/>
    <x v="0"/>
    <s v="2822"/>
    <s v=""/>
    <n v="137"/>
    <x v="15"/>
    <s v=""/>
    <s v=""/>
    <s v="JRNL00417381"/>
    <x v="11"/>
    <d v="2016-10-12T00:00:00"/>
    <s v="Yes"/>
  </r>
  <r>
    <x v="2"/>
    <s v="CU00"/>
    <s v="JRNL00421585"/>
    <s v="FT00-00000-25BN-2831"/>
    <x v="0"/>
    <s v="00000"/>
    <x v="3"/>
    <s v="2831"/>
    <s v=""/>
    <n v="1"/>
    <x v="44"/>
    <s v=""/>
    <s v=""/>
    <s v="JRNL00421585"/>
    <x v="12"/>
    <d v="2016-12-08T00:00:00"/>
    <s v="Yes"/>
  </r>
  <r>
    <x v="2"/>
    <s v="CU00"/>
    <s v="JRNL00421585"/>
    <s v="FT00-00000-25DP-2822"/>
    <x v="0"/>
    <s v="00000"/>
    <x v="0"/>
    <s v="2822"/>
    <s v=""/>
    <n v="224"/>
    <x v="45"/>
    <s v=""/>
    <s v=""/>
    <s v="JRNL00421585"/>
    <x v="12"/>
    <d v="2016-12-08T00:00:00"/>
    <s v="Yes"/>
  </r>
  <r>
    <x v="2"/>
    <s v="CU00"/>
    <s v="JRNL00422963"/>
    <s v="FT00-00000-25AM-2832"/>
    <x v="0"/>
    <s v="00000"/>
    <x v="1"/>
    <s v="2832"/>
    <s v=""/>
    <n v="-347"/>
    <x v="46"/>
    <s v=""/>
    <s v=""/>
    <s v="JRNL00422963"/>
    <x v="13"/>
    <d v="2017-01-06T00:00:00"/>
    <s v="Yes"/>
  </r>
  <r>
    <x v="0"/>
    <s v="CU00"/>
    <s v="JRNL00424667"/>
    <s v="FT00-00000-25AM-2832"/>
    <x v="0"/>
    <s v="00000"/>
    <x v="1"/>
    <s v="2832"/>
    <s v=""/>
    <n v="-18360"/>
    <x v="7"/>
    <s v=""/>
    <s v=""/>
    <s v="JRNL00424667"/>
    <x v="13"/>
    <d v="2017-01-24T00:00:00"/>
    <s v="Yes"/>
  </r>
  <r>
    <x v="2"/>
    <s v="CU00"/>
    <s v="JRNL00424629"/>
    <s v="FT00-00000-25AM-2832"/>
    <x v="0"/>
    <s v="00000"/>
    <x v="1"/>
    <s v="2832"/>
    <s v=""/>
    <n v="694"/>
    <x v="47"/>
    <s v=""/>
    <s v=""/>
    <s v="JRNL00424629"/>
    <x v="13"/>
    <d v="2017-01-24T00:00:00"/>
    <s v="Yes"/>
  </r>
  <r>
    <x v="0"/>
    <s v="CU00"/>
    <s v="JRNL00424667"/>
    <s v="FT00-00000-25PG-2831"/>
    <x v="0"/>
    <s v="00000"/>
    <x v="2"/>
    <s v="2831"/>
    <s v=""/>
    <n v="-30328"/>
    <x v="8"/>
    <s v=""/>
    <s v=""/>
    <s v="JRNL00424667"/>
    <x v="13"/>
    <d v="2017-01-24T00:00:00"/>
    <s v="Yes"/>
  </r>
  <r>
    <x v="0"/>
    <s v="CU00"/>
    <s v="JRNL00423659"/>
    <s v="FT00-00000-25AM-2832"/>
    <x v="0"/>
    <s v="00000"/>
    <x v="1"/>
    <s v="2832"/>
    <s v=""/>
    <n v="13771"/>
    <x v="33"/>
    <s v=""/>
    <s v=""/>
    <s v="JRNL00417381"/>
    <x v="13"/>
    <d v="2017-01-12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8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7"/>
    <s v=""/>
    <s v=""/>
    <s v="JRNL00423907"/>
    <x v="13"/>
    <d v="2017-01-24T00:00:00"/>
    <s v="Yes"/>
  </r>
  <r>
    <x v="0"/>
    <s v="CU00"/>
    <s v="JRNL00424667"/>
    <s v="FT00-00000-25ID-2831"/>
    <x v="0"/>
    <s v="00000"/>
    <x v="5"/>
    <s v="2831"/>
    <s v=""/>
    <n v="-83"/>
    <x v="13"/>
    <s v=""/>
    <s v=""/>
    <s v="JRNL00424667"/>
    <x v="13"/>
    <d v="2017-01-24T00:00:00"/>
    <s v="Yes"/>
  </r>
  <r>
    <x v="1"/>
    <s v="FT00"/>
    <s v="JRNL00423907"/>
    <s v="FT00-00000-25RE-2822"/>
    <x v="0"/>
    <s v="00000"/>
    <x v="7"/>
    <s v="2822"/>
    <s v=""/>
    <n v="8"/>
    <x v="37"/>
    <s v=""/>
    <s v=""/>
    <s v="JRNL00423907"/>
    <x v="13"/>
    <d v="2017-01-24T00:00:00"/>
    <s v="Yes"/>
  </r>
  <r>
    <x v="1"/>
    <s v="FT00"/>
    <s v="JRNL00423907"/>
    <s v="FT00-00000-25SL-2832"/>
    <x v="0"/>
    <s v="00000"/>
    <x v="8"/>
    <s v="2832"/>
    <s v=""/>
    <n v="0"/>
    <x v="37"/>
    <s v=""/>
    <s v=""/>
    <s v="JRNL00423907"/>
    <x v="13"/>
    <d v="2017-01-24T00:00:00"/>
    <s v="Yes"/>
  </r>
  <r>
    <x v="1"/>
    <s v="FT00"/>
    <s v="JRNL00423907"/>
    <s v="FT00-00000-25DP-2822"/>
    <x v="0"/>
    <s v="00000"/>
    <x v="0"/>
    <s v="2822"/>
    <s v=""/>
    <n v="0"/>
    <x v="35"/>
    <s v=""/>
    <s v=""/>
    <s v="JRNL00423907"/>
    <x v="13"/>
    <d v="2017-01-24T00:00:00"/>
    <s v="Yes"/>
  </r>
  <r>
    <x v="0"/>
    <s v="CU00"/>
    <s v="JRNL00424667"/>
    <s v="FT00-00000-25BD-2831"/>
    <x v="0"/>
    <s v="00000"/>
    <x v="4"/>
    <s v="2831"/>
    <s v=""/>
    <n v="143"/>
    <x v="11"/>
    <s v=""/>
    <s v=""/>
    <s v="JRNL00424667"/>
    <x v="13"/>
    <d v="2017-01-24T00:00:00"/>
    <s v="Yes"/>
  </r>
  <r>
    <x v="0"/>
    <s v="CU00"/>
    <s v="JRNL00424667"/>
    <s v="FT00-00000-25CN-2831"/>
    <x v="0"/>
    <s v="00000"/>
    <x v="6"/>
    <s v="2831"/>
    <s v=""/>
    <n v="7466"/>
    <x v="14"/>
    <s v=""/>
    <s v=""/>
    <s v="JRNL00424667"/>
    <x v="13"/>
    <d v="2017-01-24T00:00:00"/>
    <s v="Yes"/>
  </r>
  <r>
    <x v="0"/>
    <s v="CU00"/>
    <s v="JRNL00423659"/>
    <s v="FT00-00000-25BD-2831"/>
    <x v="0"/>
    <s v="00000"/>
    <x v="4"/>
    <s v="2831"/>
    <s v=""/>
    <n v="-361"/>
    <x v="33"/>
    <s v=""/>
    <s v=""/>
    <s v="JRNL00417381"/>
    <x v="13"/>
    <d v="2017-01-12T00:00:00"/>
    <s v="Yes"/>
  </r>
  <r>
    <x v="0"/>
    <s v="CU00"/>
    <s v="JRNL00423659"/>
    <s v="FT00-00000-25BN-2831"/>
    <x v="0"/>
    <s v="00000"/>
    <x v="3"/>
    <s v="2831"/>
    <s v=""/>
    <n v="3229"/>
    <x v="33"/>
    <s v=""/>
    <s v=""/>
    <s v="JRNL00417381"/>
    <x v="13"/>
    <d v="2017-01-12T00:00:00"/>
    <s v="Yes"/>
  </r>
  <r>
    <x v="0"/>
    <s v="CU00"/>
    <s v="JRNL00423659"/>
    <s v="FT00-00000-25CN-2831"/>
    <x v="0"/>
    <s v="00000"/>
    <x v="6"/>
    <s v="2831"/>
    <s v=""/>
    <n v="-5053"/>
    <x v="33"/>
    <s v=""/>
    <s v=""/>
    <s v="JRNL00417381"/>
    <x v="13"/>
    <d v="2017-01-12T00:00:00"/>
    <s v="Yes"/>
  </r>
  <r>
    <x v="0"/>
    <s v="CU00"/>
    <s v="JRNL00423659"/>
    <s v="FT00-00000-25DP-2822"/>
    <x v="0"/>
    <s v="00000"/>
    <x v="0"/>
    <s v="2822"/>
    <s v=""/>
    <n v="812"/>
    <x v="33"/>
    <s v=""/>
    <s v=""/>
    <s v="JRNL00417381"/>
    <x v="13"/>
    <d v="2017-01-12T00:00:00"/>
    <s v="Yes"/>
  </r>
  <r>
    <x v="0"/>
    <s v="CU00"/>
    <s v="JRNL00423659"/>
    <s v="FT00-00000-25DP-2822"/>
    <x v="0"/>
    <s v="00000"/>
    <x v="0"/>
    <s v="2822"/>
    <s v=""/>
    <n v="-137"/>
    <x v="33"/>
    <s v=""/>
    <s v=""/>
    <s v="JRNL00417381"/>
    <x v="13"/>
    <d v="2017-01-12T00:00:00"/>
    <s v="Yes"/>
  </r>
  <r>
    <x v="0"/>
    <s v="CU00"/>
    <s v="JRNL00423659"/>
    <s v="FT00-00000-25ID-2831"/>
    <x v="0"/>
    <s v="00000"/>
    <x v="5"/>
    <s v="2831"/>
    <s v=""/>
    <n v="90"/>
    <x v="33"/>
    <s v=""/>
    <s v=""/>
    <s v="JRNL00417381"/>
    <x v="13"/>
    <d v="2017-01-12T00:00:00"/>
    <s v="Yes"/>
  </r>
  <r>
    <x v="0"/>
    <s v="CU00"/>
    <s v="JRNL00424667"/>
    <s v="FT00-00000-25DP-2822"/>
    <x v="0"/>
    <s v="00000"/>
    <x v="0"/>
    <s v="2822"/>
    <s v=""/>
    <n v="-53423"/>
    <x v="12"/>
    <s v=""/>
    <s v=""/>
    <s v="JRNL00424667"/>
    <x v="13"/>
    <d v="2017-01-24T00:00:00"/>
    <s v="Yes"/>
  </r>
  <r>
    <x v="2"/>
    <s v="CU00"/>
    <s v="JRNL00423339"/>
    <s v="FT00-00000-25BD-2831"/>
    <x v="0"/>
    <s v="00000"/>
    <x v="4"/>
    <s v="2831"/>
    <s v=""/>
    <n v="-1"/>
    <x v="48"/>
    <s v=""/>
    <s v=""/>
    <s v="JRNL00423339"/>
    <x v="13"/>
    <d v="2017-01-09T00:00:00"/>
    <s v="Yes"/>
  </r>
  <r>
    <x v="2"/>
    <s v="CU00"/>
    <s v="JRNL00423339"/>
    <s v="FT00-00000-25BD-2831"/>
    <x v="0"/>
    <s v="00000"/>
    <x v="4"/>
    <s v="2831"/>
    <s v=""/>
    <n v="-136"/>
    <x v="48"/>
    <s v=""/>
    <s v=""/>
    <s v="JRNL00423339"/>
    <x v="13"/>
    <d v="2017-01-09T00:00:00"/>
    <s v="Yes"/>
  </r>
  <r>
    <x v="1"/>
    <s v="FT00"/>
    <s v="JRNL00423907"/>
    <s v="FT00-00000-25DP-2822"/>
    <x v="0"/>
    <s v="00000"/>
    <x v="0"/>
    <s v="2822"/>
    <s v=""/>
    <n v="0"/>
    <x v="36"/>
    <s v=""/>
    <s v=""/>
    <s v="JRNL00423907"/>
    <x v="13"/>
    <d v="2017-01-24T00:00:00"/>
    <s v="Yes"/>
  </r>
  <r>
    <x v="1"/>
    <s v="FT00"/>
    <s v="JRNL00423900"/>
    <s v="FT00-00000-25RE-2822"/>
    <x v="0"/>
    <s v="00000"/>
    <x v="7"/>
    <s v="2822"/>
    <s v=""/>
    <n v="-151"/>
    <x v="39"/>
    <s v=""/>
    <s v=""/>
    <s v="JRNL00423900"/>
    <x v="13"/>
    <d v="2017-01-24T00:00:00"/>
    <s v="Yes"/>
  </r>
  <r>
    <x v="1"/>
    <s v="FT00"/>
    <s v="JRNL00423907"/>
    <s v="FT00-00000-25RE-2822"/>
    <x v="0"/>
    <s v="00000"/>
    <x v="7"/>
    <s v="2822"/>
    <s v=""/>
    <n v="-24"/>
    <x v="39"/>
    <s v=""/>
    <s v=""/>
    <s v="JRNL00423907"/>
    <x v="13"/>
    <d v="2017-01-24T00:00:00"/>
    <s v="Yes"/>
  </r>
  <r>
    <x v="2"/>
    <s v="CU00"/>
    <s v="JRNL00422963"/>
    <s v="FT00-00000-25SI-2831"/>
    <x v="0"/>
    <s v="00000"/>
    <x v="9"/>
    <s v="2831"/>
    <s v=""/>
    <n v="-12869"/>
    <x v="46"/>
    <s v=""/>
    <s v=""/>
    <s v="JRNL00422963"/>
    <x v="13"/>
    <d v="2017-01-06T00:00:00"/>
    <s v="Yes"/>
  </r>
  <r>
    <x v="1"/>
    <s v="FT00"/>
    <s v="JRNL00423907"/>
    <s v="FT00-00000-25SL-2832"/>
    <x v="0"/>
    <s v="00000"/>
    <x v="8"/>
    <s v="2832"/>
    <s v=""/>
    <n v="0"/>
    <x v="40"/>
    <s v=""/>
    <s v=""/>
    <s v="JRNL00423907"/>
    <x v="13"/>
    <d v="2017-01-24T00:00:00"/>
    <s v="Yes"/>
  </r>
  <r>
    <x v="0"/>
    <s v="CU00"/>
    <s v="JRNL00424667"/>
    <s v="FT00-00000-25RE-2822"/>
    <x v="0"/>
    <s v="00000"/>
    <x v="7"/>
    <s v="2822"/>
    <s v=""/>
    <n v="-16"/>
    <x v="49"/>
    <s v=""/>
    <s v=""/>
    <s v="JRNL00424667"/>
    <x v="13"/>
    <d v="2017-01-24T00:00:00"/>
    <s v="Yes"/>
  </r>
  <r>
    <x v="0"/>
    <s v="CU00"/>
    <s v="JRNL00425169"/>
    <s v="FT00-00000-25RE-2822"/>
    <x v="0"/>
    <s v="00000"/>
    <x v="7"/>
    <s v="2822"/>
    <s v=""/>
    <n v="32"/>
    <x v="49"/>
    <s v=""/>
    <s v=""/>
    <s v="JRNL00425169"/>
    <x v="13"/>
    <d v="2017-02-02T00:00:00"/>
    <s v="Yes"/>
  </r>
  <r>
    <x v="2"/>
    <s v="CU00"/>
    <s v="JRNL00422963"/>
    <s v="FT00-00000-25CN-2831"/>
    <x v="0"/>
    <s v="00000"/>
    <x v="6"/>
    <s v="2831"/>
    <s v=""/>
    <n v="79"/>
    <x v="46"/>
    <s v=""/>
    <s v=""/>
    <s v="JRNL00422963"/>
    <x v="13"/>
    <d v="2017-01-06T00:00:00"/>
    <s v="Yes"/>
  </r>
  <r>
    <x v="0"/>
    <s v="CU00"/>
    <s v="JRNL00424667"/>
    <s v="FT00-00000-25DP-2822"/>
    <x v="0"/>
    <s v="00000"/>
    <x v="0"/>
    <s v="2822"/>
    <s v=""/>
    <n v="-222"/>
    <x v="15"/>
    <s v=""/>
    <s v=""/>
    <s v="JRNL00424667"/>
    <x v="13"/>
    <d v="2017-01-24T00:00:00"/>
    <s v="Yes"/>
  </r>
  <r>
    <x v="0"/>
    <s v="CU00"/>
    <s v="JRNL00433725"/>
    <s v="FT00-00000-25AM-2832"/>
    <x v="0"/>
    <s v="00000"/>
    <x v="1"/>
    <s v="2832"/>
    <s v=""/>
    <n v="-4590"/>
    <x v="7"/>
    <s v=""/>
    <s v=""/>
    <s v="JRNL00433725"/>
    <x v="14"/>
    <d v="2017-04-13T00:00:00"/>
    <s v="Yes"/>
  </r>
  <r>
    <x v="0"/>
    <s v="CU00"/>
    <s v="JRNL00433725"/>
    <s v="FT00-00000-25PG-2831"/>
    <x v="0"/>
    <s v="00000"/>
    <x v="2"/>
    <s v="2831"/>
    <s v=""/>
    <n v="19781"/>
    <x v="8"/>
    <s v=""/>
    <s v=""/>
    <s v="JRNL00433725"/>
    <x v="14"/>
    <d v="2017-04-13T00:00:00"/>
    <s v="Yes"/>
  </r>
  <r>
    <x v="0"/>
    <s v="CU00"/>
    <s v="JRNL00433725"/>
    <s v="FT00-00000-25ID-2831"/>
    <x v="0"/>
    <s v="00000"/>
    <x v="5"/>
    <s v="2831"/>
    <s v=""/>
    <n v="-21"/>
    <x v="13"/>
    <s v=""/>
    <s v=""/>
    <s v="JRNL00433725"/>
    <x v="14"/>
    <d v="2017-04-13T00:00:00"/>
    <s v="Yes"/>
  </r>
  <r>
    <x v="2"/>
    <s v="CU00"/>
    <s v="JRNL00429471"/>
    <s v="FT00-00000-25CN-2831"/>
    <x v="0"/>
    <s v="00000"/>
    <x v="6"/>
    <s v="2831"/>
    <s v=""/>
    <n v="-158"/>
    <x v="50"/>
    <s v=""/>
    <s v=""/>
    <s v="JRNL00429471"/>
    <x v="14"/>
    <d v="2017-04-12T00:00:00"/>
    <s v="Yes"/>
  </r>
  <r>
    <x v="2"/>
    <s v="CU00"/>
    <s v="JRNL00429471"/>
    <s v="FT00-00000-25DP-2822"/>
    <x v="0"/>
    <s v="00000"/>
    <x v="0"/>
    <s v="2822"/>
    <s v=""/>
    <n v="-288"/>
    <x v="51"/>
    <s v=""/>
    <s v=""/>
    <s v="JRNL00429471"/>
    <x v="14"/>
    <d v="2017-04-12T00:00:00"/>
    <s v="Yes"/>
  </r>
  <r>
    <x v="0"/>
    <s v="CU00"/>
    <s v="JRNL00433725"/>
    <s v="FT00-00000-25CN-2831"/>
    <x v="0"/>
    <s v="00000"/>
    <x v="6"/>
    <s v="2831"/>
    <s v=""/>
    <n v="2252"/>
    <x v="14"/>
    <s v=""/>
    <s v=""/>
    <s v="JRNL00433725"/>
    <x v="14"/>
    <d v="2017-04-13T00:00:00"/>
    <s v="Yes"/>
  </r>
  <r>
    <x v="0"/>
    <s v="CU00"/>
    <s v="JRNL00433725"/>
    <s v="FT00-00000-25DP-2822"/>
    <x v="0"/>
    <s v="00000"/>
    <x v="0"/>
    <s v="2822"/>
    <s v=""/>
    <n v="-4256"/>
    <x v="12"/>
    <s v=""/>
    <s v=""/>
    <s v="JRNL00433725"/>
    <x v="14"/>
    <d v="2017-04-13T00:00:00"/>
    <s v="Yes"/>
  </r>
  <r>
    <x v="0"/>
    <s v="CU00"/>
    <s v="JRNL00433725"/>
    <s v="FT00-00000-25BD-2831"/>
    <x v="0"/>
    <s v="00000"/>
    <x v="4"/>
    <s v="2831"/>
    <s v=""/>
    <n v="24"/>
    <x v="11"/>
    <s v=""/>
    <s v=""/>
    <s v="JRNL00433725"/>
    <x v="14"/>
    <d v="2017-04-13T00:00:00"/>
    <s v="Yes"/>
  </r>
  <r>
    <x v="0"/>
    <s v="CU00"/>
    <s v="JRNL00433725"/>
    <s v="FT00-00000-25DP-2822"/>
    <x v="0"/>
    <s v="00000"/>
    <x v="0"/>
    <s v="2822"/>
    <s v=""/>
    <n v="-56"/>
    <x v="15"/>
    <s v=""/>
    <s v=""/>
    <s v="JRNL00433725"/>
    <x v="14"/>
    <d v="2017-04-13T00:00:00"/>
    <s v="Yes"/>
  </r>
  <r>
    <x v="0"/>
    <s v="CU00"/>
    <s v="JRNL00439838"/>
    <s v="FT00-00000-25AM-2832"/>
    <x v="0"/>
    <s v="00000"/>
    <x v="1"/>
    <s v="2832"/>
    <s v=""/>
    <n v="4590"/>
    <x v="52"/>
    <s v=""/>
    <s v=""/>
    <s v="JRNL00433725"/>
    <x v="15"/>
    <d v="2017-07-12T00:00:00"/>
    <s v="Yes"/>
  </r>
  <r>
    <x v="0"/>
    <s v="CU00"/>
    <s v="JRNL00439994"/>
    <s v="FT00-00000-2500-2822"/>
    <x v="0"/>
    <s v="00000"/>
    <x v="10"/>
    <s v="2822"/>
    <s v=""/>
    <n v="25958"/>
    <x v="53"/>
    <s v=""/>
    <s v=""/>
    <s v="JRNL00439994"/>
    <x v="15"/>
    <d v="2017-07-12T00:00:00"/>
    <s v="Yes"/>
  </r>
  <r>
    <x v="0"/>
    <s v="CU00"/>
    <s v="JRNL00439838"/>
    <s v="FT00-00000-25PG-2831"/>
    <x v="0"/>
    <s v="00000"/>
    <x v="2"/>
    <s v="2831"/>
    <s v=""/>
    <n v="-19781"/>
    <x v="52"/>
    <s v=""/>
    <s v=""/>
    <s v="JRNL00433725"/>
    <x v="15"/>
    <d v="2017-07-12T00:00:00"/>
    <s v="Yes"/>
  </r>
  <r>
    <x v="0"/>
    <s v="CU00"/>
    <s v="JRNL00439838"/>
    <s v="FT00-00000-25BD-2831"/>
    <x v="0"/>
    <s v="00000"/>
    <x v="4"/>
    <s v="2831"/>
    <s v=""/>
    <n v="-24"/>
    <x v="52"/>
    <s v=""/>
    <s v=""/>
    <s v="JRNL00433725"/>
    <x v="15"/>
    <d v="2017-07-12T00:00:00"/>
    <s v="Yes"/>
  </r>
  <r>
    <x v="0"/>
    <s v="CU00"/>
    <s v="JRNL00439838"/>
    <s v="FT00-00000-25CN-2831"/>
    <x v="0"/>
    <s v="00000"/>
    <x v="6"/>
    <s v="2831"/>
    <s v=""/>
    <n v="-2252"/>
    <x v="52"/>
    <s v=""/>
    <s v=""/>
    <s v="JRNL00433725"/>
    <x v="15"/>
    <d v="2017-07-12T00:00:00"/>
    <s v="Yes"/>
  </r>
  <r>
    <x v="0"/>
    <s v="CU00"/>
    <s v="JRNL00439838"/>
    <s v="FT00-00000-25DP-2822"/>
    <x v="0"/>
    <s v="00000"/>
    <x v="0"/>
    <s v="2822"/>
    <s v=""/>
    <n v="4256"/>
    <x v="52"/>
    <s v=""/>
    <s v=""/>
    <s v="JRNL00433725"/>
    <x v="15"/>
    <d v="2017-07-12T00:00:00"/>
    <s v="Yes"/>
  </r>
  <r>
    <x v="0"/>
    <s v="CU00"/>
    <s v="JRNL00439838"/>
    <s v="FT00-00000-25DP-2822"/>
    <x v="0"/>
    <s v="00000"/>
    <x v="0"/>
    <s v="2822"/>
    <s v=""/>
    <n v="56"/>
    <x v="52"/>
    <s v=""/>
    <s v=""/>
    <s v="JRNL00433725"/>
    <x v="15"/>
    <d v="2017-07-12T00:00:00"/>
    <s v="Yes"/>
  </r>
  <r>
    <x v="0"/>
    <s v="CU00"/>
    <s v="JRNL00439838"/>
    <s v="FT00-00000-25ID-2831"/>
    <x v="0"/>
    <s v="00000"/>
    <x v="5"/>
    <s v="2831"/>
    <s v=""/>
    <n v="21"/>
    <x v="52"/>
    <s v=""/>
    <s v=""/>
    <s v="JRNL00433725"/>
    <x v="15"/>
    <d v="2017-07-12T00:00:00"/>
    <s v="Yes"/>
  </r>
  <r>
    <x v="0"/>
    <s v="CU00"/>
    <s v="JRNL00445432"/>
    <s v="FT00-00000-2500-2822"/>
    <x v="0"/>
    <s v="00000"/>
    <x v="10"/>
    <s v="2822"/>
    <s v=""/>
    <n v="-25958"/>
    <x v="4"/>
    <s v=""/>
    <s v=""/>
    <s v="JRNL00439994"/>
    <x v="16"/>
    <d v="2017-10-12T00:00:00"/>
    <s v="Yes"/>
  </r>
  <r>
    <x v="0"/>
    <s v="CU00"/>
    <s v="JRNL00446308"/>
    <s v="FT00-00000-2500-2822"/>
    <x v="0"/>
    <s v="00000"/>
    <x v="10"/>
    <s v="2822"/>
    <s v=""/>
    <n v="34886"/>
    <x v="53"/>
    <s v=""/>
    <s v=""/>
    <s v="JRNL00446308"/>
    <x v="16"/>
    <d v="2017-10-12T00:00:00"/>
    <s v="Yes"/>
  </r>
  <r>
    <x v="3"/>
    <s v="CU00"/>
    <s v="JRNL00454103"/>
    <s v="FT00-00000-25AM-2832"/>
    <x v="0"/>
    <s v="00000"/>
    <x v="1"/>
    <s v="2832"/>
    <s v=""/>
    <n v="-119"/>
    <x v="34"/>
    <s v=""/>
    <s v=""/>
    <s v="JRNL00454103"/>
    <x v="17"/>
    <d v="2018-01-31T00:00:00"/>
    <s v="Yes"/>
  </r>
  <r>
    <x v="0"/>
    <s v="CU00"/>
    <s v="JRNL00453448"/>
    <s v="FT00-00000-2500-2822"/>
    <x v="0"/>
    <s v="00000"/>
    <x v="10"/>
    <s v="2822"/>
    <s v=""/>
    <n v="-34886"/>
    <x v="54"/>
    <s v=""/>
    <s v=""/>
    <s v="JRNL00446308"/>
    <x v="17"/>
    <d v="2018-01-30T00:00:00"/>
    <s v="Yes"/>
  </r>
  <r>
    <x v="0"/>
    <s v="CU00"/>
    <s v="JRNL00453943"/>
    <s v="FT00-00000-25AM-2832"/>
    <x v="0"/>
    <s v="00000"/>
    <x v="1"/>
    <s v="2832"/>
    <s v=""/>
    <n v="-18360"/>
    <x v="7"/>
    <s v=""/>
    <s v=""/>
    <s v="JRNL00453943"/>
    <x v="17"/>
    <d v="2018-01-30T00:00:00"/>
    <s v="Yes"/>
  </r>
  <r>
    <x v="3"/>
    <s v="CU00"/>
    <s v="JRNL00454103"/>
    <s v="FT00-00000-25AM-2832"/>
    <x v="0"/>
    <s v="00000"/>
    <x v="1"/>
    <s v="2832"/>
    <s v=""/>
    <n v="31602"/>
    <x v="7"/>
    <s v=""/>
    <s v=""/>
    <s v="JRNL00454103"/>
    <x v="17"/>
    <d v="2018-01-31T00:00:00"/>
    <s v="Yes"/>
  </r>
  <r>
    <x v="0"/>
    <s v="CU00"/>
    <s v="JRNL00453943"/>
    <s v="FT00-00000-25PG-2831"/>
    <x v="0"/>
    <s v="00000"/>
    <x v="2"/>
    <s v="2831"/>
    <s v=""/>
    <n v="79123"/>
    <x v="8"/>
    <s v=""/>
    <s v=""/>
    <s v="JRNL00453943"/>
    <x v="17"/>
    <d v="2018-01-30T00:00:00"/>
    <s v="Yes"/>
  </r>
  <r>
    <x v="3"/>
    <s v="CU00"/>
    <s v="JRNL00454103"/>
    <s v="FT00-00000-25PG-2831"/>
    <x v="0"/>
    <s v="00000"/>
    <x v="2"/>
    <s v="2831"/>
    <s v=""/>
    <n v="-1564"/>
    <x v="8"/>
    <s v=""/>
    <s v=""/>
    <s v="JRNL00454103"/>
    <x v="17"/>
    <d v="2018-01-31T00:00:00"/>
    <s v="Yes"/>
  </r>
  <r>
    <x v="0"/>
    <s v="CU00"/>
    <s v="JRNL00453943"/>
    <s v="FT00-00000-25ID-2831"/>
    <x v="0"/>
    <s v="00000"/>
    <x v="5"/>
    <s v="2831"/>
    <s v=""/>
    <n v="-5"/>
    <x v="13"/>
    <s v=""/>
    <s v=""/>
    <s v="JRNL00453943"/>
    <x v="17"/>
    <d v="2018-01-30T00:00:00"/>
    <s v="Yes"/>
  </r>
  <r>
    <x v="3"/>
    <s v="CU00"/>
    <s v="JRNL00454103"/>
    <s v="FT00-00000-25ID-2831"/>
    <x v="0"/>
    <s v="00000"/>
    <x v="5"/>
    <s v="2831"/>
    <s v=""/>
    <n v="156"/>
    <x v="13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3517"/>
    <x v="55"/>
    <s v=""/>
    <s v=""/>
    <s v="JRNL00454103"/>
    <x v="17"/>
    <d v="2018-01-31T00:00:00"/>
    <s v="Yes"/>
  </r>
  <r>
    <x v="0"/>
    <s v="CU00"/>
    <s v="JRNL00453943"/>
    <s v="FT00-00000-25DP-2822"/>
    <x v="0"/>
    <s v="00000"/>
    <x v="0"/>
    <s v="2822"/>
    <s v=""/>
    <n v="-19368"/>
    <x v="12"/>
    <s v=""/>
    <s v=""/>
    <s v="JRNL00453943"/>
    <x v="17"/>
    <d v="2018-01-30T00:00:00"/>
    <s v="Yes"/>
  </r>
  <r>
    <x v="3"/>
    <s v="CU00"/>
    <s v="JRNL00454103"/>
    <s v="FT00-00000-25DP-2822"/>
    <x v="0"/>
    <s v="00000"/>
    <x v="0"/>
    <s v="2822"/>
    <s v=""/>
    <n v="36619"/>
    <x v="12"/>
    <s v=""/>
    <s v=""/>
    <s v="JRNL00454103"/>
    <x v="17"/>
    <d v="2018-01-31T00:00:00"/>
    <s v="Yes"/>
  </r>
  <r>
    <x v="3"/>
    <s v="CU00"/>
    <s v="JRNL00454103"/>
    <s v="FT00-00000-25SI-2831"/>
    <x v="0"/>
    <s v="00000"/>
    <x v="9"/>
    <s v="2831"/>
    <s v=""/>
    <n v="4414"/>
    <x v="56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6"/>
    <x v="57"/>
    <s v=""/>
    <s v=""/>
    <s v="JRNL00454103"/>
    <x v="17"/>
    <d v="2018-01-31T00:00:00"/>
    <s v="Yes"/>
  </r>
  <r>
    <x v="3"/>
    <s v="CU00"/>
    <s v="JRNL00454103"/>
    <s v="FT00-00000-25TX-2822"/>
    <x v="0"/>
    <s v="00000"/>
    <x v="11"/>
    <s v="2822"/>
    <s v=""/>
    <n v="11258"/>
    <x v="58"/>
    <s v=""/>
    <s v=""/>
    <s v="JRNL00454103"/>
    <x v="17"/>
    <d v="2018-01-31T00:00:00"/>
    <s v="Yes"/>
  </r>
  <r>
    <x v="0"/>
    <s v="CU00"/>
    <s v="JRNL00453943"/>
    <s v="FT00-00000-25CN-2831"/>
    <x v="0"/>
    <s v="00000"/>
    <x v="6"/>
    <s v="2831"/>
    <s v=""/>
    <n v="5486"/>
    <x v="14"/>
    <s v=""/>
    <s v=""/>
    <s v="JRNL00453943"/>
    <x v="17"/>
    <d v="2018-01-30T00:00:00"/>
    <s v="Yes"/>
  </r>
  <r>
    <x v="3"/>
    <s v="CU00"/>
    <s v="JRNL00454103"/>
    <s v="FT00-00000-25CN-2831"/>
    <x v="0"/>
    <s v="00000"/>
    <x v="6"/>
    <s v="2831"/>
    <s v=""/>
    <n v="-1087"/>
    <x v="14"/>
    <s v=""/>
    <s v=""/>
    <s v="JRNL00454103"/>
    <x v="17"/>
    <d v="2018-01-31T00:00:00"/>
    <s v="Yes"/>
  </r>
  <r>
    <x v="0"/>
    <s v="CU00"/>
    <s v="JRNL00453943"/>
    <s v="FT00-00000-25BD-2831"/>
    <x v="0"/>
    <s v="00000"/>
    <x v="4"/>
    <s v="2831"/>
    <s v=""/>
    <n v="96"/>
    <x v="11"/>
    <s v=""/>
    <s v=""/>
    <s v="JRNL00453943"/>
    <x v="17"/>
    <d v="2018-01-30T00:00:00"/>
    <s v="Yes"/>
  </r>
  <r>
    <x v="3"/>
    <s v="CU00"/>
    <s v="JRNL00454103"/>
    <s v="FT00-00000-25BD-2831"/>
    <x v="0"/>
    <s v="00000"/>
    <x v="4"/>
    <s v="2831"/>
    <s v=""/>
    <n v="-242"/>
    <x v="11"/>
    <s v=""/>
    <s v=""/>
    <s v="JRNL00454103"/>
    <x v="17"/>
    <d v="2018-01-31T00:00:00"/>
    <s v="Yes"/>
  </r>
  <r>
    <x v="0"/>
    <s v="CU00"/>
    <s v="JRNL00453943"/>
    <s v="FT00-00000-25RE-2822"/>
    <x v="0"/>
    <s v="00000"/>
    <x v="7"/>
    <s v="2822"/>
    <s v=""/>
    <n v="12"/>
    <x v="49"/>
    <s v=""/>
    <s v=""/>
    <s v="JRNL00453943"/>
    <x v="17"/>
    <d v="2018-01-30T00:00:00"/>
    <s v="Yes"/>
  </r>
  <r>
    <x v="3"/>
    <s v="CU00"/>
    <s v="JRNL00454103"/>
    <s v="FT00-00000-25RE-2822"/>
    <x v="0"/>
    <s v="00000"/>
    <x v="7"/>
    <s v="2822"/>
    <s v=""/>
    <n v="48"/>
    <x v="49"/>
    <s v=""/>
    <s v=""/>
    <s v="JRNL00454103"/>
    <x v="17"/>
    <d v="2018-01-31T00:00:00"/>
    <s v="Yes"/>
  </r>
  <r>
    <x v="0"/>
    <s v="CU00"/>
    <s v="JRNL00453943"/>
    <s v="FT00-00000-25DP-2822"/>
    <x v="0"/>
    <s v="00000"/>
    <x v="0"/>
    <s v="2822"/>
    <s v=""/>
    <n v="-7831"/>
    <x v="15"/>
    <s v=""/>
    <s v=""/>
    <s v="JRNL00453943"/>
    <x v="17"/>
    <d v="2018-01-30T00:00:00"/>
    <s v="Yes"/>
  </r>
  <r>
    <x v="3"/>
    <s v="CU00"/>
    <s v="JRNL00454103"/>
    <s v="FT00-00000-25DP-2822"/>
    <x v="0"/>
    <s v="00000"/>
    <x v="0"/>
    <s v="2822"/>
    <s v=""/>
    <n v="3195"/>
    <x v="15"/>
    <s v=""/>
    <s v=""/>
    <s v="JRNL00454103"/>
    <x v="17"/>
    <d v="2018-01-31T00:00:00"/>
    <s v="Yes"/>
  </r>
  <r>
    <x v="3"/>
    <s v="CU00"/>
    <s v="JRNL00457708"/>
    <s v="FT00-00000-25TX-2832"/>
    <x v="0"/>
    <s v="00000"/>
    <x v="11"/>
    <s v="2832"/>
    <s v=""/>
    <n v="-543"/>
    <x v="59"/>
    <s v=""/>
    <s v=""/>
    <s v="JRNL00457708"/>
    <x v="18"/>
    <d v="2018-03-14T00:00:00"/>
    <s v="Yes"/>
  </r>
  <r>
    <x v="3"/>
    <s v="CU00"/>
    <s v="JRNL00457707"/>
    <s v="FT00-AA700-25BN-2832"/>
    <x v="0"/>
    <s v="AA700"/>
    <x v="3"/>
    <s v="2832"/>
    <s v=""/>
    <n v="299"/>
    <x v="60"/>
    <s v=""/>
    <s v=""/>
    <s v="JRNL00457707"/>
    <x v="18"/>
    <d v="2018-03-14T00:00:00"/>
    <s v="Yes"/>
  </r>
  <r>
    <x v="3"/>
    <s v="CU00"/>
    <s v="JRNL00457707"/>
    <s v="FT00-AA700-25BN-2831"/>
    <x v="0"/>
    <s v="AA700"/>
    <x v="3"/>
    <s v="2831"/>
    <s v=""/>
    <n v="526"/>
    <x v="61"/>
    <s v=""/>
    <s v=""/>
    <s v="JRNL00457707"/>
    <x v="18"/>
    <d v="2018-03-14T00:00:00"/>
    <s v="Yes"/>
  </r>
  <r>
    <x v="3"/>
    <s v="CU00"/>
    <s v="JRNL00457707"/>
    <s v="FT00-AA700-25BN-2832"/>
    <x v="0"/>
    <s v="AA700"/>
    <x v="3"/>
    <s v="2832"/>
    <s v=""/>
    <n v="601"/>
    <x v="62"/>
    <s v=""/>
    <s v=""/>
    <s v="JRNL00457707"/>
    <x v="18"/>
    <d v="2018-03-14T00:00:00"/>
    <s v="Yes"/>
  </r>
  <r>
    <x v="3"/>
    <s v="CU00"/>
    <s v="JRNL00457707"/>
    <s v="FT00-AA700-25RT-2832"/>
    <x v="0"/>
    <s v="AA700"/>
    <x v="12"/>
    <s v="2832"/>
    <s v=""/>
    <n v="1369"/>
    <x v="63"/>
    <s v=""/>
    <s v=""/>
    <s v="JRNL00457707"/>
    <x v="18"/>
    <d v="2018-03-14T00:00:00"/>
    <s v="Yes"/>
  </r>
  <r>
    <x v="3"/>
    <s v="CU00"/>
    <s v="JRNL00457708"/>
    <s v="FT00-00000-25TX-2832"/>
    <x v="0"/>
    <s v="00000"/>
    <x v="11"/>
    <s v="2832"/>
    <s v=""/>
    <n v="-93"/>
    <x v="64"/>
    <s v=""/>
    <s v=""/>
    <s v="JRNL00457708"/>
    <x v="18"/>
    <d v="2018-03-14T00:00:00"/>
    <s v="Yes"/>
  </r>
  <r>
    <x v="3"/>
    <s v="CU00"/>
    <s v="JRNL00457708"/>
    <s v="FT00-00000-25TX-2832"/>
    <x v="0"/>
    <s v="00000"/>
    <x v="11"/>
    <s v="2832"/>
    <s v=""/>
    <n v="-107"/>
    <x v="65"/>
    <s v=""/>
    <s v=""/>
    <s v="JRNL00457708"/>
    <x v="18"/>
    <d v="2018-03-14T00:00:00"/>
    <s v="Yes"/>
  </r>
  <r>
    <x v="3"/>
    <s v="CU00"/>
    <s v="JRNL00457708"/>
    <s v="FT00-00000-25TX-2832"/>
    <x v="0"/>
    <s v="00000"/>
    <x v="11"/>
    <s v="2832"/>
    <s v=""/>
    <n v="-53"/>
    <x v="66"/>
    <s v=""/>
    <s v=""/>
    <s v="JRNL00457708"/>
    <x v="18"/>
    <d v="2018-03-14T00:00:00"/>
    <s v="Yes"/>
  </r>
  <r>
    <x v="3"/>
    <s v="CU00"/>
    <s v="JRNL00457707"/>
    <s v="FT00-AA700-25SR-2832"/>
    <x v="0"/>
    <s v="AA700"/>
    <x v="13"/>
    <s v="2832"/>
    <s v=""/>
    <n v="3063"/>
    <x v="67"/>
    <s v=""/>
    <s v=""/>
    <s v="JRNL00457707"/>
    <x v="18"/>
    <d v="2018-03-14T00:00:00"/>
    <s v="Yes"/>
  </r>
  <r>
    <x v="3"/>
    <s v="CU00"/>
    <s v="JRNL00457708"/>
    <s v="FT00-00000-25TX-2832"/>
    <x v="0"/>
    <s v="00000"/>
    <x v="11"/>
    <s v="2832"/>
    <s v=""/>
    <n v="-243"/>
    <x v="68"/>
    <s v=""/>
    <s v=""/>
    <s v="JRNL00457708"/>
    <x v="18"/>
    <d v="2018-03-14T00:00:00"/>
    <s v="Yes"/>
  </r>
  <r>
    <x v="4"/>
    <m/>
    <m/>
    <m/>
    <x v="1"/>
    <m/>
    <x v="14"/>
    <m/>
    <m/>
    <m/>
    <x v="69"/>
    <m/>
    <m/>
    <m/>
    <x v="19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">
  <r>
    <x v="0"/>
    <s v="25AF"/>
    <s v="AFUDC"/>
    <n v="0"/>
  </r>
  <r>
    <x v="1"/>
    <s v="25AM"/>
    <s v="Customer Based Intangibles"/>
    <n v="0"/>
  </r>
  <r>
    <x v="1"/>
    <s v="25AM.01"/>
    <s v="Amortization Schedules Prior Acquisitions"/>
    <n v="-3016"/>
  </r>
  <r>
    <x v="2"/>
    <s v="25BD"/>
    <s v="Bad Debts"/>
    <n v="258"/>
  </r>
  <r>
    <x v="3"/>
    <s v="25BN.01"/>
    <s v="Short Term Bonus"/>
    <n v="0"/>
  </r>
  <r>
    <x v="4"/>
    <s v="25CN"/>
    <s v="Conservation"/>
    <n v="492"/>
  </r>
  <r>
    <x v="5"/>
    <s v="25DP.01"/>
    <s v="Depreciation"/>
    <n v="-46"/>
  </r>
  <r>
    <x v="5"/>
    <s v="25DP.02"/>
    <s v="Contribution in Aid of Construction"/>
    <n v="0"/>
  </r>
  <r>
    <x v="5"/>
    <s v="25DP.03"/>
    <s v="Cost of Removal"/>
    <n v="-1286"/>
  </r>
  <r>
    <x v="5"/>
    <s v="25DP.04"/>
    <s v="Asset Gain/Loss"/>
    <n v="0"/>
  </r>
  <r>
    <x v="6"/>
    <s v="25ID"/>
    <s v="Reserve for Insurance Deductibles"/>
    <n v="-1"/>
  </r>
  <r>
    <x v="7"/>
    <s v="25PG"/>
    <s v="Purchased Gas Cots"/>
    <n v="12997"/>
  </r>
  <r>
    <x v="8"/>
    <s v="25RE"/>
    <s v="Repairs Deduction"/>
    <n v="2"/>
  </r>
  <r>
    <x v="9"/>
    <s v="25SI.01"/>
    <s v="Self Insurance (Current)"/>
    <n v="0"/>
  </r>
  <r>
    <x v="10"/>
    <s v="25TX"/>
    <s v="Tax Reform 2017 Reg Asset Gross Up"/>
    <n v="0"/>
  </r>
  <r>
    <x v="11"/>
    <s v="S_NOL_SYS"/>
    <s v="S_NOL_SYS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5:D19" firstHeaderRow="1" firstDataRow="2" firstDataCol="1" rowPageCount="2" colPageCount="1"/>
  <pivotFields count="17">
    <pivotField axis="axisPage" multipleItemSelectionAllowed="1" showAll="0">
      <items count="20">
        <item h="1" m="1" x="11"/>
        <item h="1" m="1" x="12"/>
        <item h="1" m="1" x="5"/>
        <item h="1" m="1" x="10"/>
        <item h="1" m="1" x="17"/>
        <item h="1" m="1" x="8"/>
        <item h="1" m="1" x="15"/>
        <item h="1" m="1" x="14"/>
        <item h="1" m="1" x="13"/>
        <item h="1" x="0"/>
        <item h="1" m="1" x="16"/>
        <item x="3"/>
        <item h="1" x="1"/>
        <item h="1" x="2"/>
        <item h="1" m="1" x="7"/>
        <item h="1" m="1" x="9"/>
        <item h="1" x="4"/>
        <item h="1" m="1" x="18"/>
        <item h="1" m="1" x="6"/>
        <item t="default"/>
      </items>
    </pivotField>
    <pivotField showAll="0"/>
    <pivotField showAll="0"/>
    <pivotField showAll="0"/>
    <pivotField axis="axisPage" multipleItemSelectionAllowed="1" showAll="0">
      <items count="11">
        <item m="1" x="8"/>
        <item h="1" m="1" x="5"/>
        <item m="1" x="2"/>
        <item m="1" x="9"/>
        <item m="1" x="6"/>
        <item h="1" x="1"/>
        <item m="1" x="7"/>
        <item m="1" x="3"/>
        <item m="1" x="4"/>
        <item x="0"/>
        <item t="default"/>
      </items>
    </pivotField>
    <pivotField showAll="0"/>
    <pivotField axis="axisRow" showAll="0">
      <items count="41">
        <item sd="0" x="10"/>
        <item sd="0" m="1" x="33"/>
        <item sd="0" m="1" x="20"/>
        <item sd="0" m="1" x="34"/>
        <item sd="0" x="1"/>
        <item sd="0" x="4"/>
        <item sd="0" x="3"/>
        <item sd="0" m="1" x="16"/>
        <item sd="0" x="0"/>
        <item sd="0" m="1" x="15"/>
        <item sd="0" m="1" x="26"/>
        <item sd="0" x="5"/>
        <item sd="0" m="1" x="29"/>
        <item sd="0" m="1" x="30"/>
        <item sd="0" m="1" x="38"/>
        <item sd="0" x="2"/>
        <item sd="0" m="1" x="23"/>
        <item sd="0" m="1" x="39"/>
        <item sd="0" m="1" x="28"/>
        <item sd="0" x="7"/>
        <item sd="0" m="1" x="21"/>
        <item sd="0" x="12"/>
        <item sd="0" m="1" x="25"/>
        <item sd="0" x="9"/>
        <item sd="0" x="8"/>
        <item sd="0" x="13"/>
        <item sd="0" x="11"/>
        <item sd="0" m="1" x="18"/>
        <item m="1" x="35"/>
        <item sd="0" x="6"/>
        <item sd="0" m="1" x="24"/>
        <item m="1" x="17"/>
        <item sd="0" m="1" x="32"/>
        <item sd="0" m="1" x="19"/>
        <item m="1" x="31"/>
        <item x="14"/>
        <item m="1" x="36"/>
        <item m="1" x="22"/>
        <item sd="0" m="1" x="27"/>
        <item m="1" x="37"/>
        <item t="default" sd="0"/>
      </items>
    </pivotField>
    <pivotField showAll="0"/>
    <pivotField showAll="0"/>
    <pivotField dataField="1" numFmtId="165" showAll="0"/>
    <pivotField axis="axisRow" showAll="0">
      <items count="326">
        <item x="66"/>
        <item x="65"/>
        <item x="68"/>
        <item x="59"/>
        <item x="64"/>
        <item x="53"/>
        <item m="1" x="269"/>
        <item m="1" x="176"/>
        <item x="11"/>
        <item m="1" x="183"/>
        <item x="15"/>
        <item x="34"/>
        <item x="12"/>
        <item m="1" x="136"/>
        <item m="1" x="141"/>
        <item x="43"/>
        <item m="1" x="109"/>
        <item m="1" x="252"/>
        <item m="1" x="253"/>
        <item x="55"/>
        <item x="8"/>
        <item m="1" x="294"/>
        <item m="1" x="115"/>
        <item x="49"/>
        <item x="13"/>
        <item m="1" x="229"/>
        <item x="56"/>
        <item x="10"/>
        <item m="1" x="270"/>
        <item m="1" x="99"/>
        <item x="58"/>
        <item x="57"/>
        <item x="47"/>
        <item m="1" x="302"/>
        <item m="1" x="323"/>
        <item m="1" x="76"/>
        <item x="44"/>
        <item x="48"/>
        <item m="1" x="84"/>
        <item x="46"/>
        <item m="1" x="314"/>
        <item m="1" x="221"/>
        <item m="1" x="209"/>
        <item x="41"/>
        <item m="1" x="170"/>
        <item x="60"/>
        <item x="62"/>
        <item x="63"/>
        <item x="67"/>
        <item x="61"/>
        <item m="1" x="116"/>
        <item m="1" x="164"/>
        <item m="1" x="165"/>
        <item m="1" x="186"/>
        <item m="1" x="107"/>
        <item m="1" x="189"/>
        <item m="1" x="236"/>
        <item x="0"/>
        <item x="18"/>
        <item x="2"/>
        <item x="23"/>
        <item x="3"/>
        <item x="32"/>
        <item m="1" x="289"/>
        <item m="1" x="144"/>
        <item m="1" x="151"/>
        <item x="17"/>
        <item m="1" x="152"/>
        <item x="26"/>
        <item m="1" x="146"/>
        <item m="1" x="153"/>
        <item x="31"/>
        <item m="1" x="114"/>
        <item m="1" x="121"/>
        <item x="19"/>
        <item m="1" x="122"/>
        <item m="1" x="123"/>
        <item x="30"/>
        <item m="1" x="213"/>
        <item m="1" x="79"/>
        <item m="1" x="92"/>
        <item m="1" x="110"/>
        <item m="1" x="172"/>
        <item m="1" x="286"/>
        <item m="1" x="166"/>
        <item m="1" x="291"/>
        <item m="1" x="171"/>
        <item m="1" x="174"/>
        <item m="1" x="290"/>
        <item m="1" x="138"/>
        <item m="1" x="149"/>
        <item m="1" x="87"/>
        <item m="1" x="113"/>
        <item m="1" x="135"/>
        <item m="1" x="86"/>
        <item m="1" x="72"/>
        <item x="1"/>
        <item m="1" x="320"/>
        <item m="1" x="126"/>
        <item m="1" x="241"/>
        <item m="1" x="237"/>
        <item x="9"/>
        <item m="1" x="295"/>
        <item m="1" x="108"/>
        <item x="28"/>
        <item m="1" x="266"/>
        <item x="52"/>
        <item x="21"/>
        <item x="42"/>
        <item m="1" x="245"/>
        <item m="1" x="247"/>
        <item x="4"/>
        <item x="33"/>
        <item x="54"/>
        <item m="1" x="127"/>
        <item m="1" x="148"/>
        <item m="1" x="284"/>
        <item x="51"/>
        <item m="1" x="204"/>
        <item m="1" x="293"/>
        <item m="1" x="191"/>
        <item m="1" x="154"/>
        <item m="1" x="88"/>
        <item m="1" x="292"/>
        <item m="1" x="244"/>
        <item m="1" x="73"/>
        <item m="1" x="70"/>
        <item m="1" x="319"/>
        <item m="1" x="322"/>
        <item m="1" x="82"/>
        <item m="1" x="235"/>
        <item m="1" x="283"/>
        <item m="1" x="309"/>
        <item m="1" x="311"/>
        <item m="1" x="180"/>
        <item m="1" x="254"/>
        <item m="1" x="94"/>
        <item m="1" x="273"/>
        <item m="1" x="182"/>
        <item m="1" x="185"/>
        <item m="1" x="324"/>
        <item m="1" x="120"/>
        <item m="1" x="223"/>
        <item m="1" x="112"/>
        <item m="1" x="255"/>
        <item m="1" x="211"/>
        <item m="1" x="90"/>
        <item m="1" x="242"/>
        <item m="1" x="234"/>
        <item m="1" x="210"/>
        <item m="1" x="271"/>
        <item m="1" x="78"/>
        <item m="1" x="240"/>
        <item m="1" x="201"/>
        <item m="1" x="274"/>
        <item m="1" x="178"/>
        <item m="1" x="80"/>
        <item m="1" x="161"/>
        <item m="1" x="251"/>
        <item m="1" x="299"/>
        <item m="1" x="100"/>
        <item m="1" x="143"/>
        <item m="1" x="258"/>
        <item m="1" x="304"/>
        <item m="1" x="277"/>
        <item m="1" x="130"/>
        <item m="1" x="106"/>
        <item m="1" x="288"/>
        <item m="1" x="125"/>
        <item m="1" x="215"/>
        <item m="1" x="197"/>
        <item m="1" x="75"/>
        <item m="1" x="301"/>
        <item m="1" x="313"/>
        <item m="1" x="281"/>
        <item m="1" x="264"/>
        <item x="14"/>
        <item m="1" x="193"/>
        <item m="1" x="212"/>
        <item m="1" x="308"/>
        <item m="1" x="184"/>
        <item m="1" x="128"/>
        <item m="1" x="262"/>
        <item m="1" x="158"/>
        <item m="1" x="225"/>
        <item m="1" x="218"/>
        <item m="1" x="85"/>
        <item m="1" x="226"/>
        <item m="1" x="279"/>
        <item m="1" x="95"/>
        <item m="1" x="307"/>
        <item m="1" x="321"/>
        <item m="1" x="230"/>
        <item m="1" x="96"/>
        <item m="1" x="134"/>
        <item m="1" x="315"/>
        <item m="1" x="287"/>
        <item m="1" x="300"/>
        <item m="1" x="306"/>
        <item m="1" x="177"/>
        <item m="1" x="156"/>
        <item m="1" x="195"/>
        <item m="1" x="310"/>
        <item m="1" x="246"/>
        <item m="1" x="214"/>
        <item m="1" x="168"/>
        <item m="1" x="173"/>
        <item m="1" x="222"/>
        <item m="1" x="238"/>
        <item m="1" x="303"/>
        <item m="1" x="248"/>
        <item m="1" x="117"/>
        <item m="1" x="239"/>
        <item m="1" x="137"/>
        <item m="1" x="98"/>
        <item m="1" x="71"/>
        <item m="1" x="167"/>
        <item m="1" x="208"/>
        <item m="1" x="285"/>
        <item x="20"/>
        <item x="24"/>
        <item x="29"/>
        <item m="1" x="206"/>
        <item m="1" x="228"/>
        <item m="1" x="129"/>
        <item m="1" x="200"/>
        <item m="1" x="131"/>
        <item m="1" x="318"/>
        <item m="1" x="190"/>
        <item m="1" x="97"/>
        <item m="1" x="220"/>
        <item m="1" x="276"/>
        <item m="1" x="163"/>
        <item m="1" x="250"/>
        <item m="1" x="198"/>
        <item m="1" x="317"/>
        <item m="1" x="298"/>
        <item m="1" x="118"/>
        <item m="1" x="162"/>
        <item x="50"/>
        <item m="1" x="101"/>
        <item m="1" x="260"/>
        <item m="1" x="74"/>
        <item m="1" x="196"/>
        <item m="1" x="104"/>
        <item m="1" x="89"/>
        <item m="1" x="259"/>
        <item x="69"/>
        <item m="1" x="231"/>
        <item m="1" x="232"/>
        <item m="1" x="205"/>
        <item m="1" x="91"/>
        <item m="1" x="77"/>
        <item m="1" x="175"/>
        <item m="1" x="150"/>
        <item m="1" x="224"/>
        <item m="1" x="316"/>
        <item m="1" x="305"/>
        <item m="1" x="179"/>
        <item m="1" x="249"/>
        <item m="1" x="119"/>
        <item m="1" x="140"/>
        <item m="1" x="296"/>
        <item m="1" x="93"/>
        <item m="1" x="159"/>
        <item m="1" x="199"/>
        <item m="1" x="275"/>
        <item m="1" x="132"/>
        <item m="1" x="145"/>
        <item m="1" x="312"/>
        <item m="1" x="103"/>
        <item x="7"/>
        <item m="1" x="217"/>
        <item m="1" x="81"/>
        <item m="1" x="83"/>
        <item m="1" x="147"/>
        <item m="1" x="102"/>
        <item m="1" x="267"/>
        <item m="1" x="139"/>
        <item m="1" x="297"/>
        <item m="1" x="133"/>
        <item m="1" x="202"/>
        <item m="1" x="256"/>
        <item m="1" x="194"/>
        <item m="1" x="142"/>
        <item m="1" x="265"/>
        <item m="1" x="169"/>
        <item m="1" x="272"/>
        <item m="1" x="160"/>
        <item m="1" x="155"/>
        <item m="1" x="203"/>
        <item m="1" x="181"/>
        <item m="1" x="280"/>
        <item m="1" x="124"/>
        <item m="1" x="227"/>
        <item m="1" x="192"/>
        <item m="1" x="105"/>
        <item m="1" x="261"/>
        <item x="16"/>
        <item x="22"/>
        <item x="25"/>
        <item x="27"/>
        <item m="1" x="233"/>
        <item m="1" x="111"/>
        <item m="1" x="257"/>
        <item m="1" x="188"/>
        <item m="1" x="157"/>
        <item m="1" x="278"/>
        <item m="1" x="187"/>
        <item m="1" x="243"/>
        <item m="1" x="216"/>
        <item m="1" x="219"/>
        <item m="1" x="282"/>
        <item m="1" x="263"/>
        <item m="1" x="207"/>
        <item m="1" x="268"/>
        <item x="5"/>
        <item x="6"/>
        <item x="35"/>
        <item x="36"/>
        <item x="37"/>
        <item x="38"/>
        <item x="39"/>
        <item x="40"/>
        <item x="45"/>
        <item t="default"/>
      </items>
    </pivotField>
    <pivotField showAll="0"/>
    <pivotField showAll="0"/>
    <pivotField showAll="0"/>
    <pivotField axis="axisCol" numFmtId="164" multipleItemSelectionAllowed="1" showAll="0">
      <items count="253">
        <item h="1" m="1" x="110"/>
        <item h="1" m="1" x="153"/>
        <item h="1" m="1" x="127"/>
        <item h="1" m="1" x="244"/>
        <item h="1" m="1" x="92"/>
        <item h="1" m="1" x="70"/>
        <item h="1" m="1" x="199"/>
        <item h="1" m="1" x="170"/>
        <item h="1" m="1" x="217"/>
        <item h="1" m="1" x="54"/>
        <item h="1" m="1" x="34"/>
        <item h="1" m="1" x="138"/>
        <item h="1" m="1" x="111"/>
        <item h="1" m="1" x="155"/>
        <item h="1" m="1" x="128"/>
        <item h="1" m="1" x="245"/>
        <item h="1" m="1" x="93"/>
        <item h="1" m="1" x="71"/>
        <item h="1" m="1" x="200"/>
        <item h="1" m="1" x="172"/>
        <item h="1" m="1" x="218"/>
        <item h="1" m="1" x="55"/>
        <item h="1" m="1" x="35"/>
        <item h="1" m="1" x="140"/>
        <item h="1" m="1" x="112"/>
        <item h="1" m="1" x="158"/>
        <item h="1" m="1" x="129"/>
        <item h="1" m="1" x="247"/>
        <item h="1" m="1" x="94"/>
        <item h="1" m="1" x="74"/>
        <item h="1" m="1" x="201"/>
        <item h="1" m="1" x="174"/>
        <item h="1" m="1" x="219"/>
        <item h="1" m="1" x="56"/>
        <item h="1" m="1" x="36"/>
        <item h="1" m="1" x="142"/>
        <item h="1" m="1" x="113"/>
        <item h="1" m="1" x="159"/>
        <item h="1" m="1" x="72"/>
        <item h="1" m="1" x="249"/>
        <item h="1" m="1" x="95"/>
        <item h="1" m="1" x="75"/>
        <item h="1" m="1" x="202"/>
        <item h="1" m="1" x="176"/>
        <item h="1" m="1" x="220"/>
        <item h="1" m="1" x="57"/>
        <item h="1" m="1" x="37"/>
        <item h="1" m="1" x="143"/>
        <item h="1" m="1" x="114"/>
        <item h="1" m="1" x="162"/>
        <item h="1" m="1" x="130"/>
        <item h="1" m="1" x="250"/>
        <item h="1" m="1" x="96"/>
        <item h="1" m="1" x="76"/>
        <item h="1" m="1" x="203"/>
        <item h="1" m="1" x="178"/>
        <item h="1" m="1" x="221"/>
        <item h="1" m="1" x="58"/>
        <item h="1" m="1" x="51"/>
        <item h="1" m="1" x="145"/>
        <item h="1" m="1" x="115"/>
        <item h="1" m="1" x="163"/>
        <item h="1" m="1" x="132"/>
        <item h="1" m="1" x="251"/>
        <item h="1" m="1" x="97"/>
        <item h="1" m="1" x="77"/>
        <item h="1" m="1" x="204"/>
        <item h="1" m="1" x="180"/>
        <item h="1" m="1" x="222"/>
        <item h="1" m="1" x="59"/>
        <item h="1" m="1" x="38"/>
        <item h="1" m="1" x="146"/>
        <item h="1" m="1" x="116"/>
        <item h="1" m="1" x="165"/>
        <item h="1" m="1" x="133"/>
        <item h="1" m="1" x="20"/>
        <item h="1" m="1" x="98"/>
        <item h="1" m="1" x="79"/>
        <item h="1" m="1" x="205"/>
        <item h="1" m="1" x="182"/>
        <item h="1" m="1" x="223"/>
        <item h="1" m="1" x="60"/>
        <item h="1" m="1" x="147"/>
        <item h="1" m="1" x="117"/>
        <item h="1" m="1" x="166"/>
        <item h="1" m="1" x="78"/>
        <item h="1" m="1" x="21"/>
        <item h="1" m="1" x="99"/>
        <item h="1" m="1" x="80"/>
        <item h="1" m="1" x="206"/>
        <item h="1" m="1" x="185"/>
        <item h="1" m="1" x="225"/>
        <item h="1" m="1" x="61"/>
        <item h="1" m="1" x="39"/>
        <item h="1" m="1" x="241"/>
        <item h="1" m="1" x="160"/>
        <item h="1" m="1" x="148"/>
        <item h="1" m="1" x="118"/>
        <item h="1" m="1" x="167"/>
        <item h="1" m="1" x="134"/>
        <item h="1" m="1" x="22"/>
        <item h="1" m="1" x="183"/>
        <item h="1" m="1" x="100"/>
        <item h="1" m="1" x="224"/>
        <item h="1" m="1" x="81"/>
        <item h="1" m="1" x="27"/>
        <item h="1" m="1" x="207"/>
        <item h="1" m="1" x="108"/>
        <item h="1" m="1" x="187"/>
        <item h="1" m="1" x="226"/>
        <item h="1" m="1" x="62"/>
        <item h="1" m="1" x="197"/>
        <item h="1" m="1" x="40"/>
        <item h="1" m="1" x="239"/>
        <item h="1" m="1" x="149"/>
        <item h="1" m="1" x="119"/>
        <item h="1" m="1" x="168"/>
        <item h="1" m="1" x="32"/>
        <item h="1" m="1" x="135"/>
        <item h="1" m="1" x="23"/>
        <item h="1" m="1" x="186"/>
        <item h="1" m="1" x="101"/>
        <item h="1" m="1" x="238"/>
        <item h="1" m="1" x="82"/>
        <item h="1" m="1" x="67"/>
        <item h="1" m="1" x="208"/>
        <item h="1" m="1" x="188"/>
        <item h="1" m="1" x="33"/>
        <item h="1" m="1" x="227"/>
        <item h="1" m="1" x="63"/>
        <item h="1" m="1" x="198"/>
        <item h="1" m="1" x="41"/>
        <item h="1" m="1" x="150"/>
        <item h="1" m="1" x="31"/>
        <item h="1" m="1" x="121"/>
        <item h="1" m="1" x="169"/>
        <item h="1" m="1" x="136"/>
        <item h="1" m="1" x="24"/>
        <item h="1" m="1" x="102"/>
        <item h="1" m="1" x="84"/>
        <item h="1" m="1" x="209"/>
        <item h="1" m="1" x="189"/>
        <item h="1" m="1" x="228"/>
        <item h="1" m="1" x="64"/>
        <item h="1" m="1" x="42"/>
        <item h="1" m="1" x="152"/>
        <item h="1" m="1" x="123"/>
        <item h="1" m="1" x="171"/>
        <item h="1" m="1" x="83"/>
        <item h="1" m="1" x="25"/>
        <item h="1" m="1" x="103"/>
        <item h="1" m="1" x="85"/>
        <item h="1" m="1" x="211"/>
        <item h="1" m="1" x="190"/>
        <item h="1" m="1" x="229"/>
        <item h="1" m="1" x="65"/>
        <item h="1" m="1" x="44"/>
        <item h="1" m="1" x="154"/>
        <item h="1" m="1" x="124"/>
        <item h="1" m="1" x="173"/>
        <item h="1" m="1" x="137"/>
        <item h="1" m="1" x="26"/>
        <item h="1" m="1" x="104"/>
        <item h="1" m="1" x="86"/>
        <item h="1" m="1" x="213"/>
        <item h="1" m="1" x="192"/>
        <item h="1" m="1" x="231"/>
        <item h="1" m="1" x="66"/>
        <item h="1" m="1" x="46"/>
        <item h="1" m="1" x="156"/>
        <item h="1" m="1" x="125"/>
        <item h="1" m="1" x="175"/>
        <item h="1" m="1" x="139"/>
        <item h="1" x="0"/>
        <item h="1" m="1" x="191"/>
        <item h="1" m="1" x="230"/>
        <item h="1" m="1" x="30"/>
        <item h="1" x="1"/>
        <item h="1" m="1" x="193"/>
        <item h="1" m="1" x="234"/>
        <item h="1" x="2"/>
        <item h="1" m="1" x="109"/>
        <item h="1" m="1" x="47"/>
        <item h="1" x="3"/>
        <item h="1" x="4"/>
        <item h="1" m="1" x="177"/>
        <item h="1" m="1" x="141"/>
        <item h="1" x="5"/>
        <item h="1" m="1" x="105"/>
        <item h="1" m="1" x="89"/>
        <item h="1" x="6"/>
        <item h="1" m="1" x="194"/>
        <item h="1" m="1" x="235"/>
        <item h="1" x="7"/>
        <item h="1" m="1" x="48"/>
        <item h="1" m="1" x="161"/>
        <item h="1" x="8"/>
        <item h="1" m="1" x="179"/>
        <item h="1" m="1" x="88"/>
        <item h="1" x="9"/>
        <item h="1" m="1" x="106"/>
        <item h="1" m="1" x="90"/>
        <item h="1" x="10"/>
        <item h="1" m="1" x="195"/>
        <item h="1" m="1" x="236"/>
        <item h="1" x="11"/>
        <item h="1" m="1" x="49"/>
        <item h="1" x="12"/>
        <item h="1" x="13"/>
        <item h="1" m="1" x="181"/>
        <item h="1" m="1" x="144"/>
        <item h="1" x="14"/>
        <item h="1" m="1" x="107"/>
        <item h="1" m="1" x="91"/>
        <item h="1" m="1" x="68"/>
        <item h="1" x="15"/>
        <item h="1" m="1" x="196"/>
        <item h="1" m="1" x="237"/>
        <item h="1" m="1" x="73"/>
        <item h="1" x="16"/>
        <item h="1" m="1" x="53"/>
        <item h="1" m="1" x="164"/>
        <item x="17"/>
        <item m="1" x="184"/>
        <item x="18"/>
        <item h="1" m="1" x="151"/>
        <item h="1" m="1" x="214"/>
        <item h="1" m="1" x="210"/>
        <item h="1" m="1" x="120"/>
        <item h="1" m="1" x="212"/>
        <item h="1" m="1" x="122"/>
        <item h="1" m="1" x="45"/>
        <item h="1" m="1" x="216"/>
        <item h="1" m="1" x="52"/>
        <item h="1" m="1" x="43"/>
        <item h="1" m="1" x="232"/>
        <item h="1" m="1" x="29"/>
        <item h="1" m="1" x="242"/>
        <item h="1" m="1" x="157"/>
        <item h="1" m="1" x="215"/>
        <item h="1" m="1" x="246"/>
        <item h="1" m="1" x="69"/>
        <item h="1" m="1" x="126"/>
        <item h="1" m="1" x="248"/>
        <item h="1" m="1" x="240"/>
        <item h="1" m="1" x="131"/>
        <item h="1" m="1" x="233"/>
        <item h="1" m="1" x="50"/>
        <item h="1" m="1" x="28"/>
        <item h="1" x="19"/>
        <item h="1" m="1" x="243"/>
        <item h="1" m="1" x="87"/>
        <item t="default"/>
      </items>
    </pivotField>
    <pivotField numFmtId="164" showAll="0"/>
    <pivotField showAll="0"/>
  </pivotFields>
  <rowFields count="2">
    <field x="6"/>
    <field x="10"/>
  </rowFields>
  <rowItems count="13">
    <i>
      <x v="4"/>
    </i>
    <i>
      <x v="5"/>
    </i>
    <i>
      <x v="6"/>
    </i>
    <i>
      <x v="8"/>
    </i>
    <i>
      <x v="11"/>
    </i>
    <i>
      <x v="15"/>
    </i>
    <i>
      <x v="19"/>
    </i>
    <i>
      <x v="21"/>
    </i>
    <i>
      <x v="23"/>
    </i>
    <i>
      <x v="25"/>
    </i>
    <i>
      <x v="26"/>
    </i>
    <i>
      <x v="29"/>
    </i>
    <i t="grand">
      <x/>
    </i>
  </rowItems>
  <colFields count="1">
    <field x="14"/>
  </colFields>
  <colItems count="3">
    <i>
      <x v="222"/>
    </i>
    <i>
      <x v="224"/>
    </i>
    <i t="grand">
      <x/>
    </i>
  </colItems>
  <pageFields count="2">
    <pageField fld="4" hier="-1"/>
    <pageField fld="0" hier="-1"/>
  </pageFields>
  <dataFields count="1">
    <dataField name="Sum of Amount" fld="9" baseField="1" baseItem="659005304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F18" firstHeaderRow="1" firstDataRow="2" firstDataCol="1" rowPageCount="2" colPageCount="1"/>
  <pivotFields count="17">
    <pivotField axis="axisCol" showAll="0">
      <items count="20">
        <item m="1" x="11"/>
        <item m="1" x="12"/>
        <item m="1" x="5"/>
        <item m="1" x="10"/>
        <item m="1" x="17"/>
        <item m="1" x="8"/>
        <item m="1" x="15"/>
        <item m="1" x="14"/>
        <item m="1" x="13"/>
        <item x="0"/>
        <item m="1" x="16"/>
        <item x="3"/>
        <item x="1"/>
        <item x="2"/>
        <item x="4"/>
        <item m="1" x="7"/>
        <item m="1" x="9"/>
        <item m="1" x="18"/>
        <item m="1" x="6"/>
        <item t="default"/>
      </items>
    </pivotField>
    <pivotField showAll="0"/>
    <pivotField showAll="0"/>
    <pivotField showAll="0"/>
    <pivotField axis="axisPage" multipleItemSelectionAllowed="1" showAll="0">
      <items count="11">
        <item m="1" x="8"/>
        <item h="1" m="1" x="5"/>
        <item h="1" x="1"/>
        <item m="1" x="2"/>
        <item m="1" x="9"/>
        <item m="1" x="6"/>
        <item m="1" x="7"/>
        <item m="1" x="3"/>
        <item m="1" x="4"/>
        <item x="0"/>
        <item t="default"/>
      </items>
    </pivotField>
    <pivotField showAll="0"/>
    <pivotField axis="axisRow" showAll="0">
      <items count="41">
        <item x="10"/>
        <item m="1" x="33"/>
        <item m="1" x="20"/>
        <item m="1" x="34"/>
        <item x="1"/>
        <item x="4"/>
        <item x="3"/>
        <item m="1" x="16"/>
        <item x="0"/>
        <item m="1" x="15"/>
        <item m="1" x="26"/>
        <item x="5"/>
        <item m="1" x="29"/>
        <item m="1" x="30"/>
        <item m="1" x="38"/>
        <item x="2"/>
        <item m="1" x="23"/>
        <item m="1" x="39"/>
        <item m="1" x="28"/>
        <item x="7"/>
        <item m="1" x="21"/>
        <item x="12"/>
        <item m="1" x="25"/>
        <item x="9"/>
        <item x="8"/>
        <item x="13"/>
        <item x="11"/>
        <item m="1" x="18"/>
        <item x="14"/>
        <item m="1" x="35"/>
        <item x="6"/>
        <item m="1" x="24"/>
        <item m="1" x="17"/>
        <item m="1" x="32"/>
        <item m="1" x="19"/>
        <item m="1" x="31"/>
        <item m="1" x="36"/>
        <item m="1" x="22"/>
        <item m="1" x="27"/>
        <item m="1" x="37"/>
        <item t="default"/>
      </items>
    </pivotField>
    <pivotField showAll="0"/>
    <pivotField showAll="0"/>
    <pivotField dataField="1" numFmtId="165" showAll="0"/>
    <pivotField showAll="0"/>
    <pivotField showAll="0"/>
    <pivotField showAll="0"/>
    <pivotField showAll="0"/>
    <pivotField axis="axisPage" numFmtId="164" multipleItemSelectionAllowed="1" showAll="0">
      <items count="253">
        <item m="1" x="110"/>
        <item m="1" x="153"/>
        <item m="1" x="127"/>
        <item m="1" x="244"/>
        <item m="1" x="92"/>
        <item m="1" x="70"/>
        <item m="1" x="199"/>
        <item m="1" x="170"/>
        <item m="1" x="217"/>
        <item m="1" x="54"/>
        <item m="1" x="34"/>
        <item m="1" x="138"/>
        <item m="1" x="111"/>
        <item m="1" x="155"/>
        <item m="1" x="128"/>
        <item m="1" x="245"/>
        <item m="1" x="93"/>
        <item m="1" x="71"/>
        <item m="1" x="200"/>
        <item m="1" x="172"/>
        <item m="1" x="218"/>
        <item m="1" x="55"/>
        <item m="1" x="35"/>
        <item m="1" x="140"/>
        <item m="1" x="112"/>
        <item m="1" x="158"/>
        <item m="1" x="129"/>
        <item m="1" x="247"/>
        <item m="1" x="94"/>
        <item m="1" x="74"/>
        <item m="1" x="201"/>
        <item m="1" x="174"/>
        <item m="1" x="219"/>
        <item m="1" x="56"/>
        <item m="1" x="36"/>
        <item m="1" x="142"/>
        <item m="1" x="113"/>
        <item m="1" x="159"/>
        <item m="1" x="72"/>
        <item m="1" x="249"/>
        <item m="1" x="95"/>
        <item m="1" x="75"/>
        <item m="1" x="202"/>
        <item m="1" x="176"/>
        <item m="1" x="220"/>
        <item m="1" x="57"/>
        <item m="1" x="37"/>
        <item m="1" x="143"/>
        <item m="1" x="114"/>
        <item m="1" x="162"/>
        <item m="1" x="130"/>
        <item m="1" x="250"/>
        <item m="1" x="96"/>
        <item m="1" x="76"/>
        <item m="1" x="203"/>
        <item m="1" x="178"/>
        <item m="1" x="221"/>
        <item m="1" x="58"/>
        <item m="1" x="51"/>
        <item m="1" x="145"/>
        <item m="1" x="115"/>
        <item m="1" x="163"/>
        <item m="1" x="132"/>
        <item m="1" x="251"/>
        <item m="1" x="97"/>
        <item m="1" x="77"/>
        <item m="1" x="204"/>
        <item m="1" x="180"/>
        <item m="1" x="222"/>
        <item m="1" x="59"/>
        <item m="1" x="38"/>
        <item m="1" x="146"/>
        <item m="1" x="116"/>
        <item m="1" x="165"/>
        <item m="1" x="133"/>
        <item m="1" x="20"/>
        <item m="1" x="98"/>
        <item m="1" x="79"/>
        <item m="1" x="205"/>
        <item m="1" x="182"/>
        <item m="1" x="223"/>
        <item m="1" x="60"/>
        <item m="1" x="147"/>
        <item m="1" x="117"/>
        <item m="1" x="166"/>
        <item m="1" x="78"/>
        <item m="1" x="21"/>
        <item m="1" x="99"/>
        <item m="1" x="80"/>
        <item m="1" x="206"/>
        <item m="1" x="185"/>
        <item m="1" x="225"/>
        <item m="1" x="61"/>
        <item m="1" x="39"/>
        <item m="1" x="241"/>
        <item m="1" x="160"/>
        <item m="1" x="148"/>
        <item m="1" x="118"/>
        <item m="1" x="167"/>
        <item m="1" x="134"/>
        <item m="1" x="22"/>
        <item m="1" x="183"/>
        <item m="1" x="100"/>
        <item m="1" x="224"/>
        <item m="1" x="81"/>
        <item m="1" x="27"/>
        <item m="1" x="207"/>
        <item m="1" x="108"/>
        <item m="1" x="187"/>
        <item m="1" x="226"/>
        <item m="1" x="62"/>
        <item m="1" x="197"/>
        <item m="1" x="40"/>
        <item m="1" x="239"/>
        <item m="1" x="149"/>
        <item m="1" x="119"/>
        <item m="1" x="168"/>
        <item m="1" x="32"/>
        <item m="1" x="135"/>
        <item m="1" x="23"/>
        <item m="1" x="186"/>
        <item m="1" x="101"/>
        <item m="1" x="238"/>
        <item m="1" x="82"/>
        <item m="1" x="67"/>
        <item m="1" x="208"/>
        <item m="1" x="188"/>
        <item m="1" x="33"/>
        <item m="1" x="227"/>
        <item m="1" x="63"/>
        <item m="1" x="198"/>
        <item m="1" x="41"/>
        <item m="1" x="150"/>
        <item m="1" x="31"/>
        <item m="1" x="121"/>
        <item m="1" x="169"/>
        <item m="1" x="136"/>
        <item m="1" x="24"/>
        <item m="1" x="102"/>
        <item m="1" x="84"/>
        <item m="1" x="209"/>
        <item m="1" x="189"/>
        <item m="1" x="228"/>
        <item m="1" x="64"/>
        <item m="1" x="42"/>
        <item m="1" x="152"/>
        <item m="1" x="123"/>
        <item m="1" x="171"/>
        <item m="1" x="83"/>
        <item m="1" x="25"/>
        <item m="1" x="103"/>
        <item m="1" x="85"/>
        <item m="1" x="211"/>
        <item m="1" x="190"/>
        <item m="1" x="229"/>
        <item m="1" x="65"/>
        <item m="1" x="44"/>
        <item m="1" x="154"/>
        <item m="1" x="124"/>
        <item m="1" x="173"/>
        <item m="1" x="137"/>
        <item m="1" x="26"/>
        <item m="1" x="104"/>
        <item m="1" x="86"/>
        <item m="1" x="213"/>
        <item m="1" x="192"/>
        <item m="1" x="231"/>
        <item m="1" x="66"/>
        <item m="1" x="46"/>
        <item m="1" x="156"/>
        <item m="1" x="125"/>
        <item m="1" x="175"/>
        <item m="1" x="139"/>
        <item x="0"/>
        <item m="1" x="191"/>
        <item m="1" x="230"/>
        <item m="1" x="30"/>
        <item x="1"/>
        <item m="1" x="193"/>
        <item m="1" x="234"/>
        <item x="2"/>
        <item m="1" x="109"/>
        <item m="1" x="47"/>
        <item x="3"/>
        <item x="4"/>
        <item m="1" x="177"/>
        <item m="1" x="141"/>
        <item x="5"/>
        <item m="1" x="105"/>
        <item m="1" x="89"/>
        <item x="6"/>
        <item m="1" x="194"/>
        <item m="1" x="235"/>
        <item x="7"/>
        <item m="1" x="48"/>
        <item m="1" x="161"/>
        <item x="8"/>
        <item m="1" x="179"/>
        <item m="1" x="88"/>
        <item x="9"/>
        <item m="1" x="106"/>
        <item m="1" x="90"/>
        <item x="10"/>
        <item m="1" x="195"/>
        <item m="1" x="236"/>
        <item x="11"/>
        <item m="1" x="49"/>
        <item x="12"/>
        <item x="13"/>
        <item m="1" x="181"/>
        <item m="1" x="144"/>
        <item x="14"/>
        <item m="1" x="107"/>
        <item m="1" x="91"/>
        <item m="1" x="68"/>
        <item x="15"/>
        <item m="1" x="196"/>
        <item m="1" x="237"/>
        <item m="1" x="73"/>
        <item x="16"/>
        <item m="1" x="53"/>
        <item m="1" x="164"/>
        <item x="17"/>
        <item h="1" m="1" x="184"/>
        <item h="1" x="18"/>
        <item h="1" x="19"/>
        <item m="1" x="151"/>
        <item m="1" x="214"/>
        <item m="1" x="210"/>
        <item m="1" x="120"/>
        <item m="1" x="212"/>
        <item m="1" x="122"/>
        <item m="1" x="45"/>
        <item m="1" x="216"/>
        <item m="1" x="52"/>
        <item m="1" x="43"/>
        <item m="1" x="232"/>
        <item m="1" x="29"/>
        <item m="1" x="242"/>
        <item m="1" x="157"/>
        <item m="1" x="215"/>
        <item m="1" x="246"/>
        <item m="1" x="69"/>
        <item m="1" x="126"/>
        <item m="1" x="248"/>
        <item m="1" x="240"/>
        <item m="1" x="131"/>
        <item m="1" x="233"/>
        <item m="1" x="50"/>
        <item h="1" m="1" x="28"/>
        <item m="1" x="243"/>
        <item m="1" x="87"/>
        <item t="default"/>
      </items>
    </pivotField>
    <pivotField numFmtId="164" showAll="0"/>
    <pivotField showAll="0"/>
  </pivotFields>
  <rowFields count="1">
    <field x="6"/>
  </rowFields>
  <rowItems count="13">
    <i>
      <x/>
    </i>
    <i>
      <x v="4"/>
    </i>
    <i>
      <x v="5"/>
    </i>
    <i>
      <x v="6"/>
    </i>
    <i>
      <x v="8"/>
    </i>
    <i>
      <x v="11"/>
    </i>
    <i>
      <x v="15"/>
    </i>
    <i>
      <x v="19"/>
    </i>
    <i>
      <x v="23"/>
    </i>
    <i>
      <x v="24"/>
    </i>
    <i>
      <x v="26"/>
    </i>
    <i>
      <x v="30"/>
    </i>
    <i t="grand">
      <x/>
    </i>
  </rowItems>
  <colFields count="1">
    <field x="0"/>
  </colFields>
  <colItems count="5">
    <i>
      <x v="9"/>
    </i>
    <i>
      <x v="11"/>
    </i>
    <i>
      <x v="12"/>
    </i>
    <i>
      <x v="13"/>
    </i>
    <i t="grand">
      <x/>
    </i>
  </colItems>
  <pageFields count="2">
    <pageField fld="4" hier="-1"/>
    <pageField fld="14" hier="-1"/>
  </pageFields>
  <dataFields count="1">
    <dataField name="Sum of Amount" fld="9" baseField="1" baseItem="659005304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3:G7" firstHeaderRow="1" firstDataRow="3" firstDataCol="1"/>
  <pivotFields count="17">
    <pivotField showAll="0"/>
    <pivotField showAll="0"/>
    <pivotField showAll="0"/>
    <pivotField showAll="0"/>
    <pivotField axis="axisRow" showAll="0">
      <items count="13">
        <item h="1" x="6"/>
        <item h="1" x="8"/>
        <item h="1" x="11"/>
        <item h="1" x="0"/>
        <item h="1" x="1"/>
        <item h="1" x="2"/>
        <item h="1" x="3"/>
        <item h="1" x="4"/>
        <item x="5"/>
        <item h="1" x="7"/>
        <item h="1" x="9"/>
        <item h="1" x="10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dataField="1" numFmtId="165" showAll="0"/>
    <pivotField showAll="0"/>
    <pivotField showAll="0"/>
    <pivotField showAll="0"/>
    <pivotField showAll="0"/>
    <pivotField axis="axisCol" numFmtId="164" multipleItemSelectionAllowed="1" showAll="0">
      <items count="4">
        <item x="0"/>
        <item x="1"/>
        <item x="2"/>
        <item t="default"/>
      </items>
    </pivotField>
    <pivotField numFmtId="164" showAll="0"/>
    <pivotField showAll="0"/>
  </pivotFields>
  <rowFields count="1">
    <field x="4"/>
  </rowFields>
  <rowItems count="2">
    <i>
      <x v="8"/>
    </i>
    <i t="grand">
      <x/>
    </i>
  </rowItems>
  <colFields count="2">
    <field x="7"/>
    <field x="14"/>
  </colFields>
  <colItems count="6">
    <i>
      <x/>
      <x/>
    </i>
    <i r="1">
      <x v="1"/>
    </i>
    <i t="default">
      <x/>
    </i>
    <i>
      <x v="1"/>
      <x/>
    </i>
    <i t="default">
      <x v="1"/>
    </i>
    <i t="grand">
      <x/>
    </i>
  </colItems>
  <dataFields count="1">
    <dataField name="Sum of Amount" fld="9" baseField="0" baseItem="0" numFmtId="39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0:B43" firstHeaderRow="1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showAll="0"/>
    <pivotField showAll="0"/>
    <pivotField dataField="1" numFmtId="37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Current Activity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8"/>
  <sheetViews>
    <sheetView tabSelected="1" workbookViewId="0">
      <selection activeCell="D22" sqref="D22"/>
    </sheetView>
  </sheetViews>
  <sheetFormatPr defaultRowHeight="15" x14ac:dyDescent="0.25"/>
  <cols>
    <col min="1" max="3" width="9.140625" style="327"/>
    <col min="4" max="4" width="13.28515625" style="327" customWidth="1"/>
    <col min="5" max="10" width="11.5703125" style="327" bestFit="1" customWidth="1"/>
    <col min="11" max="12" width="10" style="327" bestFit="1" customWidth="1"/>
    <col min="13" max="13" width="11.85546875" style="327" customWidth="1"/>
    <col min="14" max="15" width="10" style="327" bestFit="1" customWidth="1"/>
    <col min="16" max="16" width="10.5703125" style="327" bestFit="1" customWidth="1"/>
    <col min="17" max="17" width="10" style="327" bestFit="1" customWidth="1"/>
    <col min="18" max="16384" width="9.140625" style="327"/>
  </cols>
  <sheetData>
    <row r="1" spans="1:15" ht="31.5" x14ac:dyDescent="0.5">
      <c r="A1" s="260" t="s">
        <v>1274</v>
      </c>
    </row>
    <row r="2" spans="1:15" ht="31.5" x14ac:dyDescent="0.5">
      <c r="A2" s="260" t="s">
        <v>1275</v>
      </c>
    </row>
    <row r="3" spans="1:15" x14ac:dyDescent="0.25">
      <c r="A3" s="44"/>
      <c r="B3" s="44"/>
      <c r="C3" s="44"/>
      <c r="D3" s="44"/>
      <c r="E3" s="44"/>
      <c r="F3" s="44"/>
      <c r="G3" s="44"/>
    </row>
    <row r="4" spans="1:15" ht="45" x14ac:dyDescent="0.25">
      <c r="A4" s="44"/>
      <c r="B4" s="44"/>
      <c r="C4" s="44"/>
      <c r="G4" s="328" t="s">
        <v>1276</v>
      </c>
      <c r="H4" s="328" t="s">
        <v>1277</v>
      </c>
      <c r="I4" s="328" t="s">
        <v>1278</v>
      </c>
      <c r="J4" s="328" t="s">
        <v>1279</v>
      </c>
    </row>
    <row r="5" spans="1:15" x14ac:dyDescent="0.25">
      <c r="A5" s="44" t="s">
        <v>232</v>
      </c>
      <c r="B5" s="44"/>
      <c r="C5" s="44"/>
      <c r="F5" s="329">
        <v>2019</v>
      </c>
      <c r="G5" s="330"/>
      <c r="H5" s="331"/>
      <c r="I5" s="330"/>
      <c r="J5" s="332"/>
      <c r="L5" s="332"/>
      <c r="M5" s="333"/>
    </row>
    <row r="6" spans="1:15" x14ac:dyDescent="0.25">
      <c r="A6" s="44"/>
      <c r="B6" s="44"/>
      <c r="C6" s="44"/>
      <c r="G6" s="44"/>
      <c r="H6" s="331"/>
      <c r="I6" s="330"/>
      <c r="J6" s="44"/>
      <c r="L6" s="334"/>
    </row>
    <row r="7" spans="1:15" x14ac:dyDescent="0.25">
      <c r="A7" s="44" t="s">
        <v>233</v>
      </c>
      <c r="B7" s="44"/>
      <c r="C7" s="44"/>
      <c r="G7" s="330">
        <f>'FT ADIT Before-After As IF'!O72</f>
        <v>16807.98339026187</v>
      </c>
      <c r="H7" s="331">
        <v>10</v>
      </c>
      <c r="I7" s="330">
        <f>G7/H7</f>
        <v>1680.798339026187</v>
      </c>
      <c r="J7" s="332">
        <f>+I7/12</f>
        <v>140.06652825218225</v>
      </c>
      <c r="L7" s="332"/>
      <c r="M7" s="333"/>
    </row>
    <row r="8" spans="1:15" x14ac:dyDescent="0.25">
      <c r="A8" s="44"/>
      <c r="B8" s="44"/>
      <c r="C8" s="44"/>
      <c r="G8" s="330"/>
      <c r="H8" s="335"/>
      <c r="I8" s="330"/>
      <c r="J8" s="44"/>
      <c r="L8" s="332"/>
      <c r="M8" s="336"/>
      <c r="N8" s="44"/>
    </row>
    <row r="9" spans="1:15" x14ac:dyDescent="0.25">
      <c r="A9" s="44" t="s">
        <v>234</v>
      </c>
      <c r="B9" s="44"/>
      <c r="C9" s="44"/>
      <c r="G9" s="330">
        <f>'FT ADIT Before-After As IF'!O73</f>
        <v>-68959.943324626656</v>
      </c>
      <c r="H9" s="331">
        <v>10</v>
      </c>
      <c r="I9" s="330">
        <f>G9/H9</f>
        <v>-6895.9943324626656</v>
      </c>
      <c r="J9" s="332">
        <f>+I9/12</f>
        <v>-574.66619437188876</v>
      </c>
      <c r="L9" s="332"/>
      <c r="M9" s="332"/>
      <c r="N9" s="44"/>
      <c r="O9" s="63"/>
    </row>
    <row r="10" spans="1:15" x14ac:dyDescent="0.25">
      <c r="A10" s="44"/>
      <c r="B10" s="44"/>
      <c r="C10" s="44"/>
      <c r="G10" s="44"/>
      <c r="H10" s="44"/>
      <c r="I10" s="44"/>
      <c r="J10" s="44"/>
      <c r="L10" s="332"/>
      <c r="M10" s="44"/>
      <c r="N10" s="44"/>
    </row>
    <row r="11" spans="1:15" x14ac:dyDescent="0.25">
      <c r="A11" s="44" t="s">
        <v>235</v>
      </c>
      <c r="B11" s="44"/>
      <c r="C11" s="44"/>
      <c r="G11" s="330">
        <f>SUM(G5:G9)</f>
        <v>-52151.959934364786</v>
      </c>
      <c r="H11" s="44"/>
      <c r="I11" s="330">
        <f>SUM(I5:I9)</f>
        <v>-5215.1959934364786</v>
      </c>
      <c r="J11" s="332">
        <f>+I11/12</f>
        <v>-434.59966611970657</v>
      </c>
      <c r="L11" s="332"/>
      <c r="M11" s="336"/>
      <c r="N11" s="44"/>
    </row>
    <row r="12" spans="1:15" x14ac:dyDescent="0.25">
      <c r="A12" s="44"/>
      <c r="B12" s="44"/>
      <c r="C12" s="44"/>
      <c r="D12" s="44"/>
      <c r="E12" s="337" t="s">
        <v>1280</v>
      </c>
      <c r="F12" s="44"/>
      <c r="G12" s="44"/>
      <c r="L12" s="44"/>
      <c r="M12" s="44"/>
    </row>
    <row r="13" spans="1:15" x14ac:dyDescent="0.25">
      <c r="A13" s="44"/>
      <c r="B13" s="44"/>
      <c r="C13" s="44"/>
      <c r="E13" s="338">
        <f>+F5</f>
        <v>2019</v>
      </c>
      <c r="F13" s="337"/>
      <c r="G13" s="44"/>
      <c r="L13" s="339"/>
      <c r="M13" s="44"/>
    </row>
    <row r="14" spans="1:15" x14ac:dyDescent="0.25">
      <c r="A14" s="340" t="s">
        <v>260</v>
      </c>
      <c r="B14" s="44"/>
      <c r="C14" s="44"/>
      <c r="D14" s="341" t="s">
        <v>1282</v>
      </c>
      <c r="E14" s="342">
        <f>(VLOOKUP(E13,$B$19:$E$28,4,0)-VLOOKUP(E13,$B$19:$E$28,3,0))</f>
        <v>434.59966611970594</v>
      </c>
      <c r="F14" s="342"/>
      <c r="G14" s="44"/>
      <c r="L14" s="339"/>
      <c r="M14" s="44"/>
    </row>
    <row r="15" spans="1:15" x14ac:dyDescent="0.25">
      <c r="A15" s="340" t="s">
        <v>1301</v>
      </c>
      <c r="B15" s="44"/>
      <c r="C15" s="44"/>
      <c r="D15" s="341" t="s">
        <v>1281</v>
      </c>
      <c r="E15" s="332">
        <f>-E14</f>
        <v>-434.59966611970594</v>
      </c>
      <c r="F15" s="332"/>
      <c r="G15" s="44"/>
      <c r="L15" s="44"/>
      <c r="M15" s="44"/>
    </row>
    <row r="16" spans="1:15" x14ac:dyDescent="0.25">
      <c r="A16" s="44"/>
      <c r="B16" s="44"/>
      <c r="C16" s="44"/>
      <c r="D16" s="44"/>
      <c r="E16" s="44"/>
      <c r="F16" s="44"/>
      <c r="G16" s="44"/>
      <c r="L16" s="339"/>
      <c r="M16" s="44"/>
    </row>
    <row r="18" spans="1:18" x14ac:dyDescent="0.25">
      <c r="D18" s="343" t="s">
        <v>1283</v>
      </c>
      <c r="E18" s="343" t="s">
        <v>1284</v>
      </c>
      <c r="F18" s="343" t="s">
        <v>1285</v>
      </c>
      <c r="G18" s="343" t="s">
        <v>1286</v>
      </c>
      <c r="H18" s="343" t="s">
        <v>1287</v>
      </c>
      <c r="I18" s="343" t="s">
        <v>1288</v>
      </c>
      <c r="J18" s="343" t="s">
        <v>1289</v>
      </c>
      <c r="K18" s="343" t="s">
        <v>1290</v>
      </c>
      <c r="L18" s="343" t="s">
        <v>1291</v>
      </c>
      <c r="M18" s="343" t="s">
        <v>1292</v>
      </c>
      <c r="N18" s="343" t="s">
        <v>1293</v>
      </c>
      <c r="O18" s="343" t="s">
        <v>1294</v>
      </c>
    </row>
    <row r="19" spans="1:18" x14ac:dyDescent="0.25">
      <c r="A19" s="80">
        <v>1</v>
      </c>
      <c r="B19" s="80">
        <v>2018</v>
      </c>
      <c r="C19" s="344">
        <v>0</v>
      </c>
      <c r="D19" s="345">
        <f>+G11-($C19/12)-$J$7-$J$9</f>
        <v>-51717.36026824508</v>
      </c>
      <c r="E19" s="345">
        <f>+D19-($C19/12)-$J$7-$J$9</f>
        <v>-51282.760602125374</v>
      </c>
      <c r="F19" s="345">
        <f t="shared" ref="E19:O28" si="0">+E19-($C19/12)-$J$7-$J$9</f>
        <v>-50848.160936005668</v>
      </c>
      <c r="G19" s="345">
        <f t="shared" si="0"/>
        <v>-50413.561269885962</v>
      </c>
      <c r="H19" s="345">
        <f t="shared" si="0"/>
        <v>-49978.961603766256</v>
      </c>
      <c r="I19" s="345">
        <f t="shared" si="0"/>
        <v>-49544.36193764655</v>
      </c>
      <c r="J19" s="345">
        <f t="shared" si="0"/>
        <v>-49109.762271526844</v>
      </c>
      <c r="K19" s="345">
        <f t="shared" si="0"/>
        <v>-48675.162605407138</v>
      </c>
      <c r="L19" s="345">
        <f t="shared" si="0"/>
        <v>-48240.562939287433</v>
      </c>
      <c r="M19" s="345">
        <f t="shared" si="0"/>
        <v>-47805.963273167727</v>
      </c>
      <c r="N19" s="345">
        <f t="shared" si="0"/>
        <v>-47371.363607048021</v>
      </c>
      <c r="O19" s="345">
        <f t="shared" si="0"/>
        <v>-46936.763940928315</v>
      </c>
      <c r="P19" s="346"/>
      <c r="Q19" s="347">
        <f>O19-G11</f>
        <v>5215.1959934364713</v>
      </c>
      <c r="R19" s="327" t="s">
        <v>1295</v>
      </c>
    </row>
    <row r="20" spans="1:18" x14ac:dyDescent="0.25">
      <c r="A20" s="327">
        <v>2</v>
      </c>
      <c r="B20" s="327">
        <v>2019</v>
      </c>
      <c r="C20" s="62">
        <v>0</v>
      </c>
      <c r="D20" s="347">
        <f>+O19-($C20/12)-$J$7-$J$9</f>
        <v>-46502.164274808609</v>
      </c>
      <c r="E20" s="347">
        <f>+D20-($C20/12)-$J$7-$J$9</f>
        <v>-46067.564608688903</v>
      </c>
      <c r="F20" s="347">
        <f t="shared" si="0"/>
        <v>-45632.964942569197</v>
      </c>
      <c r="G20" s="347">
        <f t="shared" si="0"/>
        <v>-45198.365276449491</v>
      </c>
      <c r="H20" s="347">
        <f t="shared" si="0"/>
        <v>-44763.765610329785</v>
      </c>
      <c r="I20" s="347">
        <f t="shared" si="0"/>
        <v>-44329.165944210079</v>
      </c>
      <c r="J20" s="347">
        <f t="shared" si="0"/>
        <v>-43894.566278090373</v>
      </c>
      <c r="K20" s="347">
        <f t="shared" si="0"/>
        <v>-43459.966611970667</v>
      </c>
      <c r="L20" s="347">
        <f t="shared" si="0"/>
        <v>-43025.366945850961</v>
      </c>
      <c r="M20" s="347">
        <f t="shared" si="0"/>
        <v>-42590.767279731255</v>
      </c>
      <c r="N20" s="347">
        <f t="shared" si="0"/>
        <v>-42156.167613611549</v>
      </c>
      <c r="O20" s="347">
        <f t="shared" si="0"/>
        <v>-41721.567947491843</v>
      </c>
      <c r="Q20" s="347"/>
    </row>
    <row r="21" spans="1:18" x14ac:dyDescent="0.25">
      <c r="A21" s="327">
        <v>3</v>
      </c>
      <c r="B21" s="327">
        <v>2020</v>
      </c>
      <c r="C21" s="62">
        <v>0</v>
      </c>
      <c r="D21" s="347">
        <f>+O20-($C21/12)-$J$7-$J$9</f>
        <v>-41286.968281372137</v>
      </c>
      <c r="E21" s="347">
        <f t="shared" si="0"/>
        <v>-40852.368615252431</v>
      </c>
      <c r="F21" s="347">
        <f t="shared" si="0"/>
        <v>-40417.768949132726</v>
      </c>
      <c r="G21" s="347">
        <f t="shared" si="0"/>
        <v>-39983.16928301302</v>
      </c>
      <c r="H21" s="347">
        <f t="shared" si="0"/>
        <v>-39548.569616893314</v>
      </c>
      <c r="I21" s="347">
        <f t="shared" si="0"/>
        <v>-39113.969950773608</v>
      </c>
      <c r="J21" s="347">
        <f t="shared" si="0"/>
        <v>-38679.370284653902</v>
      </c>
      <c r="K21" s="347">
        <f t="shared" si="0"/>
        <v>-38244.770618534196</v>
      </c>
      <c r="L21" s="347">
        <f t="shared" si="0"/>
        <v>-37810.17095241449</v>
      </c>
      <c r="M21" s="347">
        <f t="shared" si="0"/>
        <v>-37375.571286294784</v>
      </c>
      <c r="N21" s="347">
        <f t="shared" si="0"/>
        <v>-36940.971620175078</v>
      </c>
      <c r="O21" s="347">
        <f t="shared" si="0"/>
        <v>-36506.371954055372</v>
      </c>
    </row>
    <row r="22" spans="1:18" x14ac:dyDescent="0.25">
      <c r="A22" s="327">
        <v>4</v>
      </c>
      <c r="B22" s="327">
        <v>2021</v>
      </c>
      <c r="C22" s="62">
        <v>0</v>
      </c>
      <c r="D22" s="347">
        <f t="shared" ref="D22:D28" si="1">+O21-($C22/12)-$J$7-$J$9</f>
        <v>-36071.772287935666</v>
      </c>
      <c r="E22" s="347">
        <f t="shared" si="0"/>
        <v>-35637.17262181596</v>
      </c>
      <c r="F22" s="347">
        <f t="shared" si="0"/>
        <v>-35202.572955696254</v>
      </c>
      <c r="G22" s="347">
        <f t="shared" si="0"/>
        <v>-34767.973289576548</v>
      </c>
      <c r="H22" s="347">
        <f t="shared" si="0"/>
        <v>-34333.373623456842</v>
      </c>
      <c r="I22" s="347">
        <f t="shared" si="0"/>
        <v>-33898.773957337136</v>
      </c>
      <c r="J22" s="347">
        <f t="shared" si="0"/>
        <v>-33464.17429121743</v>
      </c>
      <c r="K22" s="347">
        <f t="shared" si="0"/>
        <v>-33029.574625097724</v>
      </c>
      <c r="L22" s="347">
        <f t="shared" si="0"/>
        <v>-32594.974958978015</v>
      </c>
      <c r="M22" s="347">
        <f t="shared" si="0"/>
        <v>-32160.375292858309</v>
      </c>
      <c r="N22" s="347">
        <f t="shared" si="0"/>
        <v>-31725.775626738603</v>
      </c>
      <c r="O22" s="347">
        <f t="shared" si="0"/>
        <v>-31291.175960618897</v>
      </c>
    </row>
    <row r="23" spans="1:18" s="44" customFormat="1" x14ac:dyDescent="0.25">
      <c r="A23" s="44">
        <v>5</v>
      </c>
      <c r="B23" s="44">
        <v>2022</v>
      </c>
      <c r="C23" s="332">
        <v>0</v>
      </c>
      <c r="D23" s="339">
        <f t="shared" si="1"/>
        <v>-30856.576294499191</v>
      </c>
      <c r="E23" s="339">
        <f t="shared" si="0"/>
        <v>-30421.976628379485</v>
      </c>
      <c r="F23" s="339">
        <f t="shared" si="0"/>
        <v>-29987.376962259779</v>
      </c>
      <c r="G23" s="339">
        <f t="shared" si="0"/>
        <v>-29552.777296140073</v>
      </c>
      <c r="H23" s="339">
        <f t="shared" si="0"/>
        <v>-29118.177630020367</v>
      </c>
      <c r="I23" s="339">
        <f t="shared" si="0"/>
        <v>-28683.577963900661</v>
      </c>
      <c r="J23" s="339">
        <f t="shared" si="0"/>
        <v>-28248.978297780955</v>
      </c>
      <c r="K23" s="339">
        <f t="shared" si="0"/>
        <v>-27814.37863166125</v>
      </c>
      <c r="L23" s="339">
        <f t="shared" si="0"/>
        <v>-27379.778965541544</v>
      </c>
      <c r="M23" s="339">
        <f t="shared" si="0"/>
        <v>-26945.179299421838</v>
      </c>
      <c r="N23" s="339">
        <f t="shared" si="0"/>
        <v>-26510.579633302132</v>
      </c>
      <c r="O23" s="339">
        <f t="shared" si="0"/>
        <v>-26075.979967182426</v>
      </c>
    </row>
    <row r="24" spans="1:18" x14ac:dyDescent="0.25">
      <c r="A24" s="327">
        <v>6</v>
      </c>
      <c r="B24" s="327">
        <v>2023</v>
      </c>
      <c r="C24" s="62">
        <v>0</v>
      </c>
      <c r="D24" s="339">
        <f t="shared" si="1"/>
        <v>-25641.38030106272</v>
      </c>
      <c r="E24" s="339">
        <f t="shared" si="0"/>
        <v>-25206.780634943014</v>
      </c>
      <c r="F24" s="339">
        <f t="shared" si="0"/>
        <v>-24772.180968823308</v>
      </c>
      <c r="G24" s="339">
        <f t="shared" si="0"/>
        <v>-24337.581302703602</v>
      </c>
      <c r="H24" s="339">
        <f t="shared" si="0"/>
        <v>-23902.981636583896</v>
      </c>
      <c r="I24" s="339">
        <f t="shared" si="0"/>
        <v>-23468.38197046419</v>
      </c>
      <c r="J24" s="339">
        <f t="shared" si="0"/>
        <v>-23033.782304344484</v>
      </c>
      <c r="K24" s="339">
        <f t="shared" si="0"/>
        <v>-22599.182638224778</v>
      </c>
      <c r="L24" s="339">
        <f t="shared" si="0"/>
        <v>-22164.582972105072</v>
      </c>
      <c r="M24" s="339">
        <f t="shared" si="0"/>
        <v>-21729.983305985366</v>
      </c>
      <c r="N24" s="339">
        <f t="shared" si="0"/>
        <v>-21295.38363986566</v>
      </c>
      <c r="O24" s="339">
        <f t="shared" si="0"/>
        <v>-20860.783973745954</v>
      </c>
    </row>
    <row r="25" spans="1:18" x14ac:dyDescent="0.25">
      <c r="A25" s="327">
        <v>7</v>
      </c>
      <c r="B25" s="327">
        <v>2024</v>
      </c>
      <c r="C25" s="62">
        <v>0</v>
      </c>
      <c r="D25" s="339">
        <f t="shared" si="1"/>
        <v>-20426.184307626248</v>
      </c>
      <c r="E25" s="339">
        <f t="shared" si="0"/>
        <v>-19991.584641506543</v>
      </c>
      <c r="F25" s="339">
        <f t="shared" si="0"/>
        <v>-19556.984975386837</v>
      </c>
      <c r="G25" s="339">
        <f t="shared" si="0"/>
        <v>-19122.385309267131</v>
      </c>
      <c r="H25" s="339">
        <f t="shared" si="0"/>
        <v>-18687.785643147425</v>
      </c>
      <c r="I25" s="339">
        <f t="shared" si="0"/>
        <v>-18253.185977027719</v>
      </c>
      <c r="J25" s="339">
        <f t="shared" si="0"/>
        <v>-17818.586310908013</v>
      </c>
      <c r="K25" s="339">
        <f t="shared" si="0"/>
        <v>-17383.986644788307</v>
      </c>
      <c r="L25" s="339">
        <f t="shared" si="0"/>
        <v>-16949.386978668601</v>
      </c>
      <c r="M25" s="339">
        <f t="shared" si="0"/>
        <v>-16514.787312548895</v>
      </c>
      <c r="N25" s="339">
        <f t="shared" si="0"/>
        <v>-16080.187646429191</v>
      </c>
      <c r="O25" s="339">
        <f t="shared" si="0"/>
        <v>-15645.587980309485</v>
      </c>
    </row>
    <row r="26" spans="1:18" x14ac:dyDescent="0.25">
      <c r="A26" s="327">
        <v>8</v>
      </c>
      <c r="B26" s="327">
        <v>2025</v>
      </c>
      <c r="C26" s="62">
        <v>0</v>
      </c>
      <c r="D26" s="339">
        <f t="shared" si="1"/>
        <v>-15210.988314189779</v>
      </c>
      <c r="E26" s="339">
        <f t="shared" si="0"/>
        <v>-14776.388648070073</v>
      </c>
      <c r="F26" s="339">
        <f t="shared" si="0"/>
        <v>-14341.788981950367</v>
      </c>
      <c r="G26" s="339">
        <f t="shared" si="0"/>
        <v>-13907.189315830661</v>
      </c>
      <c r="H26" s="339">
        <f t="shared" si="0"/>
        <v>-13472.589649710955</v>
      </c>
      <c r="I26" s="339">
        <f t="shared" si="0"/>
        <v>-13037.989983591249</v>
      </c>
      <c r="J26" s="339">
        <f t="shared" si="0"/>
        <v>-12603.390317471543</v>
      </c>
      <c r="K26" s="339">
        <f t="shared" si="0"/>
        <v>-12168.790651351837</v>
      </c>
      <c r="L26" s="339">
        <f t="shared" si="0"/>
        <v>-11734.190985232131</v>
      </c>
      <c r="M26" s="339">
        <f t="shared" si="0"/>
        <v>-11299.591319112425</v>
      </c>
      <c r="N26" s="339">
        <f t="shared" si="0"/>
        <v>-10864.99165299272</v>
      </c>
      <c r="O26" s="339">
        <f t="shared" si="0"/>
        <v>-10430.391986873014</v>
      </c>
    </row>
    <row r="27" spans="1:18" x14ac:dyDescent="0.25">
      <c r="A27" s="327">
        <v>9</v>
      </c>
      <c r="B27" s="327">
        <v>2026</v>
      </c>
      <c r="C27" s="62">
        <v>0</v>
      </c>
      <c r="D27" s="339">
        <f t="shared" si="1"/>
        <v>-9995.7923207533076</v>
      </c>
      <c r="E27" s="339">
        <f t="shared" si="0"/>
        <v>-9561.1926546336017</v>
      </c>
      <c r="F27" s="339">
        <f t="shared" si="0"/>
        <v>-9126.5929885138958</v>
      </c>
      <c r="G27" s="339">
        <f t="shared" si="0"/>
        <v>-8691.9933223941898</v>
      </c>
      <c r="H27" s="339">
        <f t="shared" si="0"/>
        <v>-8257.3936562744839</v>
      </c>
      <c r="I27" s="339">
        <f t="shared" si="0"/>
        <v>-7822.793990154777</v>
      </c>
      <c r="J27" s="339">
        <f t="shared" si="0"/>
        <v>-7388.1943240350702</v>
      </c>
      <c r="K27" s="339">
        <f t="shared" si="0"/>
        <v>-6953.5946579153633</v>
      </c>
      <c r="L27" s="339">
        <f t="shared" si="0"/>
        <v>-6518.9949917956565</v>
      </c>
      <c r="M27" s="339">
        <f t="shared" si="0"/>
        <v>-6084.3953256759496</v>
      </c>
      <c r="N27" s="339">
        <f t="shared" si="0"/>
        <v>-5649.7956595562428</v>
      </c>
      <c r="O27" s="339">
        <f t="shared" si="0"/>
        <v>-5215.1959934365359</v>
      </c>
    </row>
    <row r="28" spans="1:18" ht="15.75" thickBot="1" x14ac:dyDescent="0.3">
      <c r="A28" s="348">
        <v>10</v>
      </c>
      <c r="B28" s="348">
        <v>2027</v>
      </c>
      <c r="C28" s="349">
        <v>0</v>
      </c>
      <c r="D28" s="350">
        <f t="shared" si="1"/>
        <v>-4780.596327316829</v>
      </c>
      <c r="E28" s="350">
        <f t="shared" si="0"/>
        <v>-4345.9966611971222</v>
      </c>
      <c r="F28" s="350">
        <f t="shared" si="0"/>
        <v>-3911.3969950774158</v>
      </c>
      <c r="G28" s="350">
        <f t="shared" si="0"/>
        <v>-3476.7973289577094</v>
      </c>
      <c r="H28" s="350">
        <f t="shared" si="0"/>
        <v>-3042.197662838003</v>
      </c>
      <c r="I28" s="350">
        <f t="shared" si="0"/>
        <v>-2607.5979967182966</v>
      </c>
      <c r="J28" s="350">
        <f t="shared" si="0"/>
        <v>-2172.9983305985902</v>
      </c>
      <c r="K28" s="350">
        <f t="shared" si="0"/>
        <v>-1738.3986644788838</v>
      </c>
      <c r="L28" s="350">
        <f t="shared" si="0"/>
        <v>-1303.7989983591774</v>
      </c>
      <c r="M28" s="350">
        <f t="shared" si="0"/>
        <v>-869.19933223947089</v>
      </c>
      <c r="N28" s="350">
        <f t="shared" si="0"/>
        <v>-434.59966611976438</v>
      </c>
      <c r="O28" s="350">
        <f t="shared" si="0"/>
        <v>-5.7866600400302559E-11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9" sqref="E9"/>
    </sheetView>
  </sheetViews>
  <sheetFormatPr defaultRowHeight="15" x14ac:dyDescent="0.25"/>
  <cols>
    <col min="2" max="2" width="49.140625" bestFit="1" customWidth="1"/>
    <col min="3" max="3" width="19" style="62" bestFit="1" customWidth="1"/>
    <col min="4" max="4" width="20" style="62" bestFit="1" customWidth="1"/>
    <col min="5" max="6" width="20" style="62" customWidth="1"/>
    <col min="7" max="8" width="15" style="62" customWidth="1"/>
    <col min="9" max="9" width="10.5703125" bestFit="1" customWidth="1"/>
    <col min="10" max="10" width="22.42578125" customWidth="1"/>
  </cols>
  <sheetData>
    <row r="1" spans="1:10" ht="31.5" x14ac:dyDescent="0.5">
      <c r="B1" s="61" t="s">
        <v>313</v>
      </c>
    </row>
    <row r="2" spans="1:10" ht="24" customHeight="1" x14ac:dyDescent="0.5">
      <c r="B2" s="61"/>
      <c r="G2" s="101" t="s">
        <v>208</v>
      </c>
      <c r="H2" s="169">
        <v>43190</v>
      </c>
      <c r="I2" s="87"/>
      <c r="J2" s="87"/>
    </row>
    <row r="3" spans="1:10" ht="30.75" customHeight="1" x14ac:dyDescent="0.25">
      <c r="C3" s="74">
        <v>0.35</v>
      </c>
      <c r="D3" s="74">
        <v>0.21</v>
      </c>
      <c r="E3" s="18" t="s">
        <v>203</v>
      </c>
      <c r="F3" s="85">
        <v>43100</v>
      </c>
      <c r="G3" s="102" t="s">
        <v>197</v>
      </c>
      <c r="H3" s="18" t="s">
        <v>416</v>
      </c>
      <c r="I3" s="18" t="s">
        <v>209</v>
      </c>
      <c r="J3" s="18" t="s">
        <v>415</v>
      </c>
    </row>
    <row r="5" spans="1:10" x14ac:dyDescent="0.25">
      <c r="B5" s="64" t="s">
        <v>298</v>
      </c>
      <c r="C5" s="69">
        <f t="shared" ref="C5:J5" si="0">SUM(C6:C21)</f>
        <v>-193178.28950000001</v>
      </c>
      <c r="D5" s="69">
        <f t="shared" si="0"/>
        <v>-115906.9737</v>
      </c>
      <c r="E5" s="69">
        <f t="shared" si="0"/>
        <v>1290.9055040441899</v>
      </c>
      <c r="F5" s="69">
        <f t="shared" si="0"/>
        <v>-114616.06819595581</v>
      </c>
      <c r="G5" s="69">
        <f t="shared" si="0"/>
        <v>4854</v>
      </c>
      <c r="H5" s="69">
        <f t="shared" si="0"/>
        <v>803</v>
      </c>
      <c r="I5" s="69">
        <f t="shared" si="0"/>
        <v>7789</v>
      </c>
      <c r="J5" s="69">
        <f t="shared" si="0"/>
        <v>-101170.06819595581</v>
      </c>
    </row>
    <row r="6" spans="1:10" x14ac:dyDescent="0.25">
      <c r="A6" t="str">
        <f>LEFT(B6,4)</f>
        <v>25AF</v>
      </c>
      <c r="B6" s="99" t="s">
        <v>299</v>
      </c>
      <c r="C6" s="83">
        <v>0</v>
      </c>
      <c r="D6" s="83">
        <v>0</v>
      </c>
      <c r="E6" s="62">
        <f>VLOOKUP(A6,'FT ADIT Before-After'!$A$10:$W$27,10,0)/'FT ADIT Before-After'!$G$8*'FT ADIT Before-After'!$G$7</f>
        <v>0</v>
      </c>
      <c r="F6" s="62">
        <f>SUM(D6:E6)</f>
        <v>0</v>
      </c>
      <c r="I6" s="62">
        <f>ROUND(+'FT ADIT Before-After'!V10/'FT ADIT Before-After'!$G$8*'FT ADIT Before-After'!$G$7,0)</f>
        <v>0</v>
      </c>
      <c r="J6" s="63">
        <f>SUM(F6:I6)</f>
        <v>0</v>
      </c>
    </row>
    <row r="7" spans="1:10" x14ac:dyDescent="0.25">
      <c r="A7" t="str">
        <f t="shared" ref="A7:A38" si="1">LEFT(B7,4)</f>
        <v>25AM</v>
      </c>
      <c r="B7" s="99" t="s">
        <v>301</v>
      </c>
      <c r="C7" s="83">
        <v>315</v>
      </c>
      <c r="D7" s="83">
        <v>189</v>
      </c>
      <c r="E7" s="62">
        <f>VLOOKUP(A7,'FT ADIT Before-After'!$A$10:$W$27,10,0)/'FT ADIT Before-After'!$G$8*'FT ADIT Before-After'!$G$7</f>
        <v>-98.599329256263559</v>
      </c>
      <c r="F7" s="62">
        <f t="shared" ref="F7:F21" si="2">SUM(D7:E7)</f>
        <v>90.400670743736441</v>
      </c>
      <c r="I7" s="62">
        <f>ROUND(+'FT ADIT Before-After'!V11/'FT ADIT Before-After'!$G$8*'FT ADIT Before-After'!$G$7,0)</f>
        <v>0</v>
      </c>
      <c r="J7" s="63">
        <f t="shared" ref="J7:J21" si="3">SUM(F7:I7)</f>
        <v>90.400670743736441</v>
      </c>
    </row>
    <row r="8" spans="1:10" x14ac:dyDescent="0.25">
      <c r="A8" t="str">
        <f t="shared" si="1"/>
        <v>25AM</v>
      </c>
      <c r="B8" s="99" t="s">
        <v>300</v>
      </c>
      <c r="C8" s="83">
        <v>-83602.05</v>
      </c>
      <c r="D8" s="83">
        <v>-50161.23</v>
      </c>
      <c r="F8" s="62">
        <f t="shared" si="2"/>
        <v>-50161.23</v>
      </c>
      <c r="I8" s="62">
        <f>ROUND(+'FT ADIT Before-After'!V12/'FT ADIT Before-After'!$G$8*'FT ADIT Before-After'!$G$7,0)</f>
        <v>-2499</v>
      </c>
      <c r="J8" s="63">
        <f t="shared" si="3"/>
        <v>-52660.23</v>
      </c>
    </row>
    <row r="9" spans="1:10" x14ac:dyDescent="0.25">
      <c r="A9" t="str">
        <f t="shared" si="1"/>
        <v>25BD</v>
      </c>
      <c r="B9" s="99" t="s">
        <v>302</v>
      </c>
      <c r="C9" s="83">
        <v>640.15700000000004</v>
      </c>
      <c r="D9" s="83">
        <v>384.0942</v>
      </c>
      <c r="E9" s="62">
        <f>VLOOKUP(A9,'FT ADIT Before-After'!$A$10:$W$27,10,0)/'FT ADIT Before-After'!$G$8*'FT ADIT Before-After'!$G$7</f>
        <v>-200.51292168080488</v>
      </c>
      <c r="F9" s="62">
        <f t="shared" si="2"/>
        <v>183.58127831919512</v>
      </c>
      <c r="I9" s="62">
        <f>ROUND(+'FT ADIT Before-After'!V13/'FT ADIT Before-After'!$G$8*'FT ADIT Before-After'!$G$7,0)</f>
        <v>214</v>
      </c>
      <c r="J9" s="63">
        <f t="shared" si="3"/>
        <v>397.58127831919512</v>
      </c>
    </row>
    <row r="10" spans="1:10" x14ac:dyDescent="0.25">
      <c r="A10" t="str">
        <f t="shared" si="1"/>
        <v>25BN</v>
      </c>
      <c r="B10" s="99" t="s">
        <v>303</v>
      </c>
      <c r="C10" s="83">
        <v>0</v>
      </c>
      <c r="D10" s="83">
        <v>0</v>
      </c>
      <c r="E10" s="62">
        <f>VLOOKUP(A10,'FT ADIT Before-After'!$A$10:$W$27,10,0)/'FT ADIT Before-After'!$G$8*'FT ADIT Before-After'!$G$7</f>
        <v>0</v>
      </c>
      <c r="F10" s="62">
        <f t="shared" si="2"/>
        <v>0</v>
      </c>
      <c r="G10" s="62">
        <f>ROUND(+'Tax Reform Entries TX-SPCL'!C9/'FT ADIT Before-After'!$G$8*'FT ADIT Before-After'!$G$7,0)</f>
        <v>1182</v>
      </c>
      <c r="H10" s="62">
        <f>ROUND('FT ADIT Before-After'!N14/'FT ADIT Before-After'!$G$8*'FT ADIT Before-After'!$G$7,0)</f>
        <v>803</v>
      </c>
      <c r="I10" s="62">
        <f>ROUND(+'FT ADIT Before-After'!V14/'FT ADIT Before-After'!$G$8*'FT ADIT Before-After'!$G$7,0)</f>
        <v>0</v>
      </c>
      <c r="J10" s="63">
        <f t="shared" si="3"/>
        <v>1985</v>
      </c>
    </row>
    <row r="11" spans="1:10" x14ac:dyDescent="0.25">
      <c r="A11" t="str">
        <f t="shared" si="1"/>
        <v>25CN</v>
      </c>
      <c r="B11" s="99" t="s">
        <v>304</v>
      </c>
      <c r="C11" s="83">
        <v>2875.502</v>
      </c>
      <c r="D11" s="83">
        <v>1725.3012000000001</v>
      </c>
      <c r="E11" s="62">
        <f>VLOOKUP(A11,'FT ADIT Before-After'!$A$10:$W$27,10,0)/'FT ADIT Before-After'!$G$8*'FT ADIT Before-After'!$G$7</f>
        <v>-900.65101597948308</v>
      </c>
      <c r="F11" s="62">
        <f t="shared" si="2"/>
        <v>824.65018402051703</v>
      </c>
      <c r="I11" s="62">
        <f>ROUND(+'FT ADIT Before-After'!V15/'FT ADIT Before-After'!$G$8*'FT ADIT Before-After'!$G$7,0)</f>
        <v>408</v>
      </c>
      <c r="J11" s="63">
        <f t="shared" si="3"/>
        <v>1232.6501840205169</v>
      </c>
    </row>
    <row r="12" spans="1:10" x14ac:dyDescent="0.25">
      <c r="A12" t="str">
        <f t="shared" si="1"/>
        <v>25DP</v>
      </c>
      <c r="B12" s="99" t="s">
        <v>305</v>
      </c>
      <c r="C12" s="83">
        <v>-96876.853499999997</v>
      </c>
      <c r="D12" s="83">
        <v>-58126.112099999998</v>
      </c>
      <c r="E12" s="62">
        <f>VLOOKUP(A12,'FT ADIT Before-After'!$A$10:$W$27,10,0)/'FT ADIT Before-After'!$G$8*'FT ADIT Before-After'!$G$7</f>
        <v>0</v>
      </c>
      <c r="F12" s="62">
        <f t="shared" si="2"/>
        <v>-58126.112099999998</v>
      </c>
      <c r="I12" s="62">
        <f>ROUND(+'FT ADIT Before-After'!V16/'FT ADIT Before-After'!$G$8*'FT ADIT Before-After'!$G$7,0)</f>
        <v>-38</v>
      </c>
      <c r="J12" s="63">
        <f t="shared" si="3"/>
        <v>-58164.112099999998</v>
      </c>
    </row>
    <row r="13" spans="1:10" x14ac:dyDescent="0.25">
      <c r="A13" t="str">
        <f t="shared" si="1"/>
        <v>25DP</v>
      </c>
      <c r="B13" s="99" t="s">
        <v>306</v>
      </c>
      <c r="C13" s="83">
        <v>0</v>
      </c>
      <c r="D13" s="83">
        <v>0</v>
      </c>
      <c r="F13" s="62">
        <f t="shared" si="2"/>
        <v>0</v>
      </c>
      <c r="I13" s="62">
        <f>ROUND(+'FT ADIT Before-After'!V17/'FT ADIT Before-After'!$G$8*'FT ADIT Before-After'!$G$7,0)</f>
        <v>0</v>
      </c>
      <c r="J13" s="63">
        <f t="shared" si="3"/>
        <v>0</v>
      </c>
    </row>
    <row r="14" spans="1:10" x14ac:dyDescent="0.25">
      <c r="A14" t="str">
        <f t="shared" si="1"/>
        <v>25DP</v>
      </c>
      <c r="B14" s="99" t="s">
        <v>307</v>
      </c>
      <c r="C14" s="83">
        <v>-8452.5</v>
      </c>
      <c r="D14" s="83">
        <v>-5071.5</v>
      </c>
      <c r="F14" s="62">
        <f t="shared" si="2"/>
        <v>-5071.5</v>
      </c>
      <c r="I14" s="62">
        <f>ROUND(+'FT ADIT Before-After'!V18/'FT ADIT Before-After'!$G$8*'FT ADIT Before-After'!$G$7,0)</f>
        <v>-1066</v>
      </c>
      <c r="J14" s="63">
        <f t="shared" si="3"/>
        <v>-6137.5</v>
      </c>
    </row>
    <row r="15" spans="1:10" x14ac:dyDescent="0.25">
      <c r="A15" t="str">
        <f t="shared" si="1"/>
        <v>25DP</v>
      </c>
      <c r="B15" s="99" t="s">
        <v>308</v>
      </c>
      <c r="C15" s="83">
        <v>0</v>
      </c>
      <c r="D15" s="83">
        <v>0</v>
      </c>
      <c r="F15" s="62">
        <f t="shared" si="2"/>
        <v>0</v>
      </c>
      <c r="I15" s="62">
        <f>ROUND(+'FT ADIT Before-After'!V19/'FT ADIT Before-After'!$G$8*'FT ADIT Before-After'!$G$7,0)</f>
        <v>0</v>
      </c>
      <c r="J15" s="63">
        <f t="shared" si="3"/>
        <v>0</v>
      </c>
    </row>
    <row r="16" spans="1:10" x14ac:dyDescent="0.25">
      <c r="A16" t="str">
        <f t="shared" si="1"/>
        <v>25ID</v>
      </c>
      <c r="B16" s="99" t="s">
        <v>309</v>
      </c>
      <c r="C16" s="83">
        <v>-413.59500000000003</v>
      </c>
      <c r="D16" s="83">
        <v>-248.15700000000001</v>
      </c>
      <c r="E16" s="62">
        <f>VLOOKUP(A16,'FT ADIT Before-After'!$A$10:$W$27,10,0)/'FT ADIT Before-After'!$G$8*'FT ADIT Before-After'!$G$7</f>
        <v>129.25626356283288</v>
      </c>
      <c r="F16" s="62">
        <f t="shared" si="2"/>
        <v>-118.90073643716713</v>
      </c>
      <c r="I16" s="62">
        <f>ROUND(+'FT ADIT Before-After'!V20/'FT ADIT Before-After'!$G$8*'FT ADIT Before-After'!$G$7,0)</f>
        <v>-1</v>
      </c>
      <c r="J16" s="63">
        <f t="shared" si="3"/>
        <v>-119.90073643716713</v>
      </c>
    </row>
    <row r="17" spans="1:10" x14ac:dyDescent="0.25">
      <c r="A17" t="str">
        <f t="shared" si="1"/>
        <v>25PG</v>
      </c>
      <c r="B17" s="99" t="s">
        <v>310</v>
      </c>
      <c r="C17" s="83">
        <v>4138.75</v>
      </c>
      <c r="D17" s="83">
        <v>2483.25</v>
      </c>
      <c r="E17" s="62">
        <f>VLOOKUP(A17,'FT ADIT Before-After'!$A$10:$W$27,10,0)/'FT ADIT Before-After'!$G$8*'FT ADIT Before-After'!$G$7</f>
        <v>-1295.8768987966066</v>
      </c>
      <c r="F17" s="62">
        <f t="shared" si="2"/>
        <v>1187.3731012033934</v>
      </c>
      <c r="I17" s="62">
        <f>ROUND(+'FT ADIT Before-After'!V21/'FT ADIT Before-After'!$G$8*'FT ADIT Before-After'!$G$7,0)</f>
        <v>10769</v>
      </c>
      <c r="J17" s="63">
        <f t="shared" si="3"/>
        <v>11956.373101203393</v>
      </c>
    </row>
    <row r="18" spans="1:10" x14ac:dyDescent="0.25">
      <c r="A18" t="str">
        <f t="shared" si="1"/>
        <v>25RE</v>
      </c>
      <c r="B18" s="99" t="s">
        <v>311</v>
      </c>
      <c r="C18" s="83">
        <v>-126.35</v>
      </c>
      <c r="D18" s="83">
        <v>-75.81</v>
      </c>
      <c r="E18" s="62">
        <f>VLOOKUP(A18,'FT ADIT Before-After'!$A$10:$W$27,10,0)/'FT ADIT Before-After'!$G$8*'FT ADIT Before-After'!$G$7</f>
        <v>0</v>
      </c>
      <c r="F18" s="62">
        <f t="shared" si="2"/>
        <v>-75.81</v>
      </c>
      <c r="I18" s="62">
        <f>ROUND(+'FT ADIT Before-After'!V22/'FT ADIT Before-After'!$G$8*'FT ADIT Before-After'!$G$7,0)</f>
        <v>2</v>
      </c>
      <c r="J18" s="63">
        <f t="shared" si="3"/>
        <v>-73.81</v>
      </c>
    </row>
    <row r="19" spans="1:10" s="79" customFormat="1" x14ac:dyDescent="0.25">
      <c r="A19" s="79" t="str">
        <f t="shared" si="1"/>
        <v>25RT</v>
      </c>
      <c r="B19" s="60" t="s">
        <v>314</v>
      </c>
      <c r="C19" s="83"/>
      <c r="D19" s="83"/>
      <c r="E19" s="62"/>
      <c r="F19" s="62"/>
      <c r="G19" s="62">
        <f>ROUND(+'Tax Reform Entries TX-SPCL'!C14/'FT ADIT Before-After'!$G$8*'FT ADIT Before-After'!$G$7,0)</f>
        <v>1134</v>
      </c>
      <c r="H19" s="62"/>
      <c r="I19" s="62">
        <f>ROUND(+'FT ADIT Before-After'!V23/'FT ADIT Before-After'!$G$8*'FT ADIT Before-After'!$G$7,0)</f>
        <v>0</v>
      </c>
      <c r="J19" s="63">
        <f t="shared" si="3"/>
        <v>1134</v>
      </c>
    </row>
    <row r="20" spans="1:10" s="79" customFormat="1" x14ac:dyDescent="0.25">
      <c r="A20" s="79" t="str">
        <f t="shared" si="1"/>
        <v>25SR</v>
      </c>
      <c r="B20" s="60" t="s">
        <v>315</v>
      </c>
      <c r="C20" s="83"/>
      <c r="D20" s="83"/>
      <c r="E20" s="62"/>
      <c r="F20" s="62"/>
      <c r="G20" s="62">
        <f>ROUND(+'Tax Reform Entries TX-SPCL'!C16/'FT ADIT Before-After'!$G$8*'FT ADIT Before-After'!$G$7,0)</f>
        <v>2538</v>
      </c>
      <c r="H20" s="62"/>
      <c r="I20" s="62">
        <f>ROUND(+'FT ADIT Before-After'!V24/'FT ADIT Before-After'!$G$8*'FT ADIT Before-After'!$G$7,0)</f>
        <v>0</v>
      </c>
      <c r="J20" s="63">
        <f t="shared" si="3"/>
        <v>2538</v>
      </c>
    </row>
    <row r="21" spans="1:10" x14ac:dyDescent="0.25">
      <c r="A21" t="str">
        <f t="shared" si="1"/>
        <v>25SI</v>
      </c>
      <c r="B21" s="99" t="s">
        <v>312</v>
      </c>
      <c r="C21" s="100">
        <v>-11676.35</v>
      </c>
      <c r="D21" s="100">
        <v>-7005.81</v>
      </c>
      <c r="E21" s="62">
        <f>VLOOKUP(A21,'FT ADIT Before-After'!$A$10:$W$27,10,0)/'FT ADIT Before-After'!$G$8*'FT ADIT Before-After'!$G$7</f>
        <v>3657.2894061945153</v>
      </c>
      <c r="F21" s="62">
        <f t="shared" si="2"/>
        <v>-3348.5205938054851</v>
      </c>
      <c r="I21" s="62">
        <f>ROUND(+'FT ADIT Before-After'!V25/'FT ADIT Before-After'!$G$8*'FT ADIT Before-After'!$G$7,0)</f>
        <v>0</v>
      </c>
      <c r="J21" s="63">
        <f t="shared" si="3"/>
        <v>-3348.5205938054851</v>
      </c>
    </row>
    <row r="22" spans="1:10" x14ac:dyDescent="0.25">
      <c r="B22" s="64" t="s">
        <v>295</v>
      </c>
      <c r="C22" s="69">
        <f t="shared" ref="C22:J22" si="4">SUM(C23:C38)</f>
        <v>-19731.782427500002</v>
      </c>
      <c r="D22" s="69">
        <f t="shared" si="4"/>
        <v>-23981.704796500002</v>
      </c>
      <c r="E22" s="69">
        <f t="shared" si="4"/>
        <v>267.09449595580975</v>
      </c>
      <c r="F22" s="69">
        <f t="shared" si="4"/>
        <v>-23714.610300544195</v>
      </c>
      <c r="G22" s="69">
        <f t="shared" si="4"/>
        <v>1004</v>
      </c>
      <c r="H22" s="69">
        <f t="shared" si="4"/>
        <v>166</v>
      </c>
      <c r="I22" s="69">
        <f t="shared" si="4"/>
        <v>1611</v>
      </c>
      <c r="J22" s="69">
        <f t="shared" si="4"/>
        <v>-20933.610300544195</v>
      </c>
    </row>
    <row r="23" spans="1:10" x14ac:dyDescent="0.25">
      <c r="A23" t="str">
        <f t="shared" si="1"/>
        <v>25AF</v>
      </c>
      <c r="B23" s="99" t="s">
        <v>299</v>
      </c>
      <c r="C23" s="83">
        <v>0</v>
      </c>
      <c r="D23" s="83">
        <v>0</v>
      </c>
      <c r="E23" s="62">
        <f>VLOOKUP(A23,'FT ADIT Before-After'!$A$10:$W$27,10,0)/'FT ADIT Before-After'!$G$8*(0.79*'FT ADIT Before-After'!$C$7)</f>
        <v>0</v>
      </c>
      <c r="F23" s="62">
        <f t="shared" ref="F23:F38" si="5">SUM(D23:E23)</f>
        <v>0</v>
      </c>
      <c r="I23" s="73">
        <f>+'FT ADIT Before-After'!V10-'FT FED -  STATE '!I6</f>
        <v>0</v>
      </c>
      <c r="J23" s="63">
        <f>SUM(F23:I23)</f>
        <v>0</v>
      </c>
    </row>
    <row r="24" spans="1:10" x14ac:dyDescent="0.25">
      <c r="A24" t="str">
        <f t="shared" si="1"/>
        <v>25AM</v>
      </c>
      <c r="B24" s="99" t="s">
        <v>301</v>
      </c>
      <c r="C24" s="83">
        <v>32.174999999999997</v>
      </c>
      <c r="D24" s="83">
        <v>39.104999999999997</v>
      </c>
      <c r="E24" s="62">
        <f>VLOOKUP(A24,'FT ADIT Before-After'!$A$10:$W$27,10,0)/'FT ADIT Before-After'!$G$8*(0.79*'FT ADIT Before-After'!$C$7)</f>
        <v>-20.400670743736438</v>
      </c>
      <c r="F24" s="62">
        <f t="shared" si="5"/>
        <v>18.704329256263559</v>
      </c>
      <c r="I24" s="73">
        <f>+'FT ADIT Before-After'!V11-'FT FED -  STATE '!I7</f>
        <v>0</v>
      </c>
      <c r="J24" s="63">
        <f t="shared" ref="J24:J38" si="6">SUM(F24:I24)</f>
        <v>18.704329256263559</v>
      </c>
    </row>
    <row r="25" spans="1:10" x14ac:dyDescent="0.25">
      <c r="A25" t="str">
        <f t="shared" si="1"/>
        <v>25AM</v>
      </c>
      <c r="B25" s="99" t="s">
        <v>300</v>
      </c>
      <c r="C25" s="83">
        <v>-8539.3522499999999</v>
      </c>
      <c r="D25" s="83">
        <v>-10378.59735</v>
      </c>
      <c r="F25" s="62">
        <f t="shared" si="5"/>
        <v>-10378.59735</v>
      </c>
      <c r="I25" s="73">
        <f>+'FT ADIT Before-After'!V12-'FT FED -  STATE '!I8</f>
        <v>-517</v>
      </c>
      <c r="J25" s="63">
        <f t="shared" si="6"/>
        <v>-10895.59735</v>
      </c>
    </row>
    <row r="26" spans="1:10" x14ac:dyDescent="0.25">
      <c r="A26" t="str">
        <f t="shared" si="1"/>
        <v>25BD</v>
      </c>
      <c r="B26" s="99" t="s">
        <v>302</v>
      </c>
      <c r="C26" s="83">
        <v>65.387465000000006</v>
      </c>
      <c r="D26" s="83">
        <v>79.470918999999995</v>
      </c>
      <c r="E26" s="62">
        <f>VLOOKUP(A26,'FT ADIT Before-After'!$A$10:$W$27,10,0)/'FT ADIT Before-After'!$G$8*(0.79*'FT ADIT Before-After'!$C$7)</f>
        <v>-41.487078319195106</v>
      </c>
      <c r="F26" s="62">
        <f t="shared" si="5"/>
        <v>37.983840680804889</v>
      </c>
      <c r="I26" s="73">
        <f>+'FT ADIT Before-After'!V13-'FT FED -  STATE '!I9</f>
        <v>44</v>
      </c>
      <c r="J26" s="63">
        <f t="shared" si="6"/>
        <v>81.983840680804889</v>
      </c>
    </row>
    <row r="27" spans="1:10" x14ac:dyDescent="0.25">
      <c r="A27" t="str">
        <f t="shared" si="1"/>
        <v>25BN</v>
      </c>
      <c r="B27" s="99" t="s">
        <v>303</v>
      </c>
      <c r="C27" s="83">
        <v>0</v>
      </c>
      <c r="D27" s="83">
        <v>0</v>
      </c>
      <c r="E27" s="62">
        <f>VLOOKUP(A27,'FT ADIT Before-After'!$A$10:$W$27,10,0)/'FT ADIT Before-After'!$G$8*(0.79*'FT ADIT Before-After'!$C$7)</f>
        <v>0</v>
      </c>
      <c r="F27" s="62">
        <f t="shared" si="5"/>
        <v>0</v>
      </c>
      <c r="G27" s="62">
        <f>'Tax Reform Entries TX-SPCL'!C9-'FT FED -  STATE '!G10</f>
        <v>244</v>
      </c>
      <c r="H27" s="62">
        <f>'FT ADIT Before-After'!N14-'FT FED -  STATE '!H10</f>
        <v>166</v>
      </c>
      <c r="I27" s="73">
        <f>+'FT ADIT Before-After'!V14-'FT FED -  STATE '!I10</f>
        <v>0</v>
      </c>
      <c r="J27" s="63">
        <f t="shared" si="6"/>
        <v>410</v>
      </c>
    </row>
    <row r="28" spans="1:10" x14ac:dyDescent="0.25">
      <c r="A28" t="str">
        <f t="shared" si="1"/>
        <v>25CN</v>
      </c>
      <c r="B28" s="99" t="s">
        <v>304</v>
      </c>
      <c r="C28" s="83">
        <v>293.71199000000001</v>
      </c>
      <c r="D28" s="83">
        <v>356.97303399999998</v>
      </c>
      <c r="E28" s="62">
        <f>VLOOKUP(A28,'FT ADIT Before-After'!$A$10:$W$27,10,0)/'FT ADIT Before-After'!$G$8*(0.79*'FT ADIT Before-After'!$C$7)</f>
        <v>-186.34898402051689</v>
      </c>
      <c r="F28" s="62">
        <f t="shared" si="5"/>
        <v>170.62404997948309</v>
      </c>
      <c r="I28" s="73">
        <f>+'FT ADIT Before-After'!V15-'FT FED -  STATE '!I11</f>
        <v>84</v>
      </c>
      <c r="J28" s="63">
        <f t="shared" si="6"/>
        <v>254.62404997948309</v>
      </c>
    </row>
    <row r="29" spans="1:10" x14ac:dyDescent="0.25">
      <c r="A29" t="str">
        <f t="shared" si="1"/>
        <v>25DP</v>
      </c>
      <c r="B29" s="99" t="s">
        <v>305</v>
      </c>
      <c r="C29" s="83">
        <v>-9895.2786075000004</v>
      </c>
      <c r="D29" s="83">
        <v>-12026.569384500001</v>
      </c>
      <c r="E29" s="62">
        <f>VLOOKUP(A29,'FT ADIT Before-After'!$A$10:$W$27,10,0)/'FT ADIT Before-After'!$G$8*(0.79*'FT ADIT Before-After'!$C$7)</f>
        <v>0</v>
      </c>
      <c r="F29" s="62">
        <f t="shared" si="5"/>
        <v>-12026.569384500001</v>
      </c>
      <c r="I29" s="73">
        <f>+'FT ADIT Before-After'!V16-'FT FED -  STATE '!I12</f>
        <v>-8</v>
      </c>
      <c r="J29" s="63">
        <f t="shared" si="6"/>
        <v>-12034.569384500001</v>
      </c>
    </row>
    <row r="30" spans="1:10" x14ac:dyDescent="0.25">
      <c r="A30" t="str">
        <f t="shared" si="1"/>
        <v>25DP</v>
      </c>
      <c r="B30" s="99" t="s">
        <v>306</v>
      </c>
      <c r="C30" s="83">
        <v>0</v>
      </c>
      <c r="D30" s="83">
        <v>0</v>
      </c>
      <c r="F30" s="62">
        <f t="shared" si="5"/>
        <v>0</v>
      </c>
      <c r="I30" s="73">
        <f>+'FT ADIT Before-After'!V17-'FT FED -  STATE '!I13</f>
        <v>0</v>
      </c>
      <c r="J30" s="63">
        <f t="shared" si="6"/>
        <v>0</v>
      </c>
    </row>
    <row r="31" spans="1:10" x14ac:dyDescent="0.25">
      <c r="A31" t="str">
        <f t="shared" si="1"/>
        <v>25DP</v>
      </c>
      <c r="B31" s="99" t="s">
        <v>307</v>
      </c>
      <c r="C31" s="83">
        <v>-863.36249999999995</v>
      </c>
      <c r="D31" s="83">
        <v>-1049.3175000000001</v>
      </c>
      <c r="F31" s="62">
        <f t="shared" si="5"/>
        <v>-1049.3175000000001</v>
      </c>
      <c r="I31" s="73">
        <f>+'FT ADIT Before-After'!V18-'FT FED -  STATE '!I14</f>
        <v>-220</v>
      </c>
      <c r="J31" s="63">
        <f t="shared" si="6"/>
        <v>-1269.3175000000001</v>
      </c>
    </row>
    <row r="32" spans="1:10" x14ac:dyDescent="0.25">
      <c r="A32" t="str">
        <f t="shared" si="1"/>
        <v>25DP</v>
      </c>
      <c r="B32" s="99" t="s">
        <v>308</v>
      </c>
      <c r="C32" s="83">
        <v>0</v>
      </c>
      <c r="D32" s="83">
        <v>0</v>
      </c>
      <c r="F32" s="62">
        <f t="shared" si="5"/>
        <v>0</v>
      </c>
      <c r="I32" s="73">
        <f>+'FT ADIT Before-After'!V19-'FT FED -  STATE '!I15</f>
        <v>0</v>
      </c>
      <c r="J32" s="63">
        <f t="shared" si="6"/>
        <v>0</v>
      </c>
    </row>
    <row r="33" spans="1:10" x14ac:dyDescent="0.25">
      <c r="A33" t="str">
        <f t="shared" si="1"/>
        <v>25ID</v>
      </c>
      <c r="B33" s="99" t="s">
        <v>309</v>
      </c>
      <c r="C33" s="83">
        <v>-42.245775000000002</v>
      </c>
      <c r="D33" s="83">
        <v>-51.344864999999999</v>
      </c>
      <c r="E33" s="62">
        <f>VLOOKUP(A33,'FT ADIT Before-After'!$A$10:$W$27,10,0)/'FT ADIT Before-After'!$G$8*(0.79*'FT ADIT Before-After'!$C$7)</f>
        <v>26.743736437167094</v>
      </c>
      <c r="F33" s="62">
        <f t="shared" si="5"/>
        <v>-24.601128562832905</v>
      </c>
      <c r="I33" s="73">
        <f>+'FT ADIT Before-After'!V20-'FT FED -  STATE '!I16</f>
        <v>0</v>
      </c>
      <c r="J33" s="63">
        <f t="shared" si="6"/>
        <v>-24.601128562832905</v>
      </c>
    </row>
    <row r="34" spans="1:10" x14ac:dyDescent="0.25">
      <c r="A34" t="str">
        <f t="shared" si="1"/>
        <v>25PG</v>
      </c>
      <c r="B34" s="99" t="s">
        <v>310</v>
      </c>
      <c r="C34" s="83">
        <v>422.74374999999998</v>
      </c>
      <c r="D34" s="83">
        <v>513.79624999999999</v>
      </c>
      <c r="E34" s="62">
        <f>VLOOKUP(A34,'FT ADIT Before-After'!$A$10:$W$27,10,0)/'FT ADIT Before-After'!$G$8*(0.79*'FT ADIT Before-After'!$C$7)</f>
        <v>-268.12310120339316</v>
      </c>
      <c r="F34" s="62">
        <f t="shared" si="5"/>
        <v>245.67314879660682</v>
      </c>
      <c r="I34" s="73">
        <f>+'FT ADIT Before-After'!V21-'FT FED -  STATE '!I17</f>
        <v>2228</v>
      </c>
      <c r="J34" s="63">
        <f t="shared" si="6"/>
        <v>2473.6731487966067</v>
      </c>
    </row>
    <row r="35" spans="1:10" x14ac:dyDescent="0.25">
      <c r="A35" t="str">
        <f t="shared" si="1"/>
        <v>25RE</v>
      </c>
      <c r="B35" s="99" t="s">
        <v>311</v>
      </c>
      <c r="C35" s="83">
        <v>-12.905749999999999</v>
      </c>
      <c r="D35" s="83">
        <v>-15.685449999999999</v>
      </c>
      <c r="E35" s="62">
        <f>VLOOKUP(A35,'FT ADIT Before-After'!$A$10:$W$27,10,0)/'FT ADIT Before-After'!$G$8*(0.79*'FT ADIT Before-After'!$C$7)</f>
        <v>0</v>
      </c>
      <c r="F35" s="62">
        <f t="shared" si="5"/>
        <v>-15.685449999999999</v>
      </c>
      <c r="I35" s="73">
        <f>+'FT ADIT Before-After'!V22-'FT FED -  STATE '!I18</f>
        <v>0</v>
      </c>
      <c r="J35" s="63">
        <f t="shared" si="6"/>
        <v>-15.685449999999999</v>
      </c>
    </row>
    <row r="36" spans="1:10" s="79" customFormat="1" x14ac:dyDescent="0.25">
      <c r="A36" s="79" t="str">
        <f t="shared" ref="A36:A37" si="7">LEFT(B36,4)</f>
        <v>25RT</v>
      </c>
      <c r="B36" s="60" t="s">
        <v>314</v>
      </c>
      <c r="C36" s="83"/>
      <c r="D36" s="83"/>
      <c r="E36" s="62"/>
      <c r="F36" s="62"/>
      <c r="G36" s="62">
        <f>'Tax Reform Entries TX-SPCL'!C14-'FT FED -  STATE '!G19</f>
        <v>235</v>
      </c>
      <c r="H36" s="62"/>
      <c r="I36" s="73">
        <f>+'FT ADIT Before-After'!V23-'FT FED -  STATE '!I19</f>
        <v>0</v>
      </c>
      <c r="J36" s="63">
        <f t="shared" si="6"/>
        <v>235</v>
      </c>
    </row>
    <row r="37" spans="1:10" s="79" customFormat="1" x14ac:dyDescent="0.25">
      <c r="A37" s="79" t="str">
        <f t="shared" si="7"/>
        <v>25SR</v>
      </c>
      <c r="B37" s="60" t="s">
        <v>315</v>
      </c>
      <c r="C37" s="83"/>
      <c r="D37" s="83"/>
      <c r="E37" s="62"/>
      <c r="F37" s="62"/>
      <c r="G37" s="62">
        <f>'Tax Reform Entries TX-SPCL'!C16-'FT FED -  STATE '!G20</f>
        <v>525</v>
      </c>
      <c r="H37" s="62"/>
      <c r="I37" s="73">
        <f>+'FT ADIT Before-After'!V24-'FT FED -  STATE '!I20</f>
        <v>0</v>
      </c>
      <c r="J37" s="63">
        <f t="shared" si="6"/>
        <v>525</v>
      </c>
    </row>
    <row r="38" spans="1:10" x14ac:dyDescent="0.25">
      <c r="A38" t="str">
        <f t="shared" si="1"/>
        <v>25SI</v>
      </c>
      <c r="B38" s="99" t="s">
        <v>312</v>
      </c>
      <c r="C38" s="100">
        <v>-1192.6557499999999</v>
      </c>
      <c r="D38" s="100">
        <v>-1449.5354500000001</v>
      </c>
      <c r="E38" s="62">
        <f>VLOOKUP(A38,'FT ADIT Before-After'!$A$10:$W$27,10,0)/'FT ADIT Before-After'!$G$8*(0.79*'FT ADIT Before-After'!$C$7)</f>
        <v>756.71059380548422</v>
      </c>
      <c r="F38" s="62">
        <f t="shared" si="5"/>
        <v>-692.82485619451586</v>
      </c>
      <c r="I38" s="73">
        <f>+'FT ADIT Before-After'!V25-'FT FED -  STATE '!I21</f>
        <v>0</v>
      </c>
      <c r="J38" s="63">
        <f t="shared" si="6"/>
        <v>-692.82485619451586</v>
      </c>
    </row>
    <row r="39" spans="1:10" x14ac:dyDescent="0.25">
      <c r="B39" s="65" t="s">
        <v>150</v>
      </c>
      <c r="C39" s="70">
        <f t="shared" ref="C39:J39" si="8">+C5+C22</f>
        <v>-212910.07192750002</v>
      </c>
      <c r="D39" s="70">
        <f t="shared" si="8"/>
        <v>-139888.67849650001</v>
      </c>
      <c r="E39" s="70">
        <f t="shared" si="8"/>
        <v>1557.9999999999995</v>
      </c>
      <c r="F39" s="70">
        <f t="shared" si="8"/>
        <v>-138330.67849650001</v>
      </c>
      <c r="G39" s="70">
        <f t="shared" si="8"/>
        <v>5858</v>
      </c>
      <c r="H39" s="70">
        <f t="shared" si="8"/>
        <v>969</v>
      </c>
      <c r="I39" s="70">
        <f t="shared" si="8"/>
        <v>9400</v>
      </c>
      <c r="J39" s="70">
        <f t="shared" si="8"/>
        <v>-122103.67849650001</v>
      </c>
    </row>
    <row r="41" spans="1:10" x14ac:dyDescent="0.25">
      <c r="B41" s="60" t="s">
        <v>316</v>
      </c>
    </row>
    <row r="42" spans="1:10" x14ac:dyDescent="0.25">
      <c r="B42" s="66" t="s">
        <v>298</v>
      </c>
      <c r="D42" s="62">
        <f>ROUND(+'FT ADIT Before-After'!L35/'FT ADIT Before-After'!$G$8*'FT ADIT Before-After'!$G$7,0)</f>
        <v>20541</v>
      </c>
      <c r="F42" s="62">
        <f t="shared" ref="F42:F43" si="9">SUM(D42:E42)</f>
        <v>20541</v>
      </c>
      <c r="G42" s="62">
        <f>ROUND(+'FT ADIT Before-After'!M32/'FT ADIT Before-After'!G8*'FT ADIT Before-After'!G7,0)</f>
        <v>-861</v>
      </c>
      <c r="H42" s="62">
        <f>ROUND('FT ADIT Before-After'!N32/'FT ADIT Before-After'!$G$8*'FT ADIT Before-After'!$G$7,0)</f>
        <v>-142</v>
      </c>
      <c r="J42" s="63">
        <f t="shared" ref="J42:J43" si="10">SUM(F42:I42)</f>
        <v>19538</v>
      </c>
    </row>
    <row r="43" spans="1:10" x14ac:dyDescent="0.25">
      <c r="B43" s="66" t="s">
        <v>317</v>
      </c>
      <c r="D43" s="71">
        <f>ROUND(+'FT ADIT Before-After'!L35-D42,0)</f>
        <v>4250</v>
      </c>
      <c r="E43" s="71"/>
      <c r="F43" s="71">
        <f t="shared" si="9"/>
        <v>4250</v>
      </c>
      <c r="G43" s="71">
        <f>+'FT ADIT Before-After'!M35-G42</f>
        <v>-178</v>
      </c>
      <c r="H43" s="71">
        <f>'FT ADIT Before-After'!N32-'FT FED -  STATE '!H42</f>
        <v>-29</v>
      </c>
      <c r="I43" s="67"/>
      <c r="J43" s="68">
        <f t="shared" si="10"/>
        <v>4043</v>
      </c>
    </row>
    <row r="44" spans="1:10" x14ac:dyDescent="0.25">
      <c r="D44" s="62">
        <f>SUM(D42:D43)</f>
        <v>24791</v>
      </c>
      <c r="E44" s="62">
        <f t="shared" ref="E44:F44" si="11">SUM(E42:E43)</f>
        <v>0</v>
      </c>
      <c r="F44" s="62">
        <f t="shared" si="11"/>
        <v>24791</v>
      </c>
      <c r="G44" s="62">
        <f>SUM(G42:G43)</f>
        <v>-1039</v>
      </c>
      <c r="H44" s="62">
        <f>SUM(H42:H43)</f>
        <v>-171</v>
      </c>
      <c r="J44" s="63">
        <f>SUM(J42:J43)</f>
        <v>23581</v>
      </c>
    </row>
    <row r="46" spans="1:10" ht="15.75" thickBot="1" x14ac:dyDescent="0.3">
      <c r="B46" s="20" t="s">
        <v>221</v>
      </c>
      <c r="D46" s="72">
        <f t="shared" ref="D46:J46" si="12">+D39+D44</f>
        <v>-115097.67849650001</v>
      </c>
      <c r="E46" s="72">
        <f t="shared" si="12"/>
        <v>1557.9999999999995</v>
      </c>
      <c r="F46" s="72">
        <f t="shared" si="12"/>
        <v>-113539.67849650001</v>
      </c>
      <c r="G46" s="72">
        <f t="shared" si="12"/>
        <v>4819</v>
      </c>
      <c r="H46" s="72">
        <f t="shared" si="12"/>
        <v>798</v>
      </c>
      <c r="I46" s="72">
        <f t="shared" si="12"/>
        <v>9400</v>
      </c>
      <c r="J46" s="72">
        <f t="shared" si="12"/>
        <v>-98522.678496500012</v>
      </c>
    </row>
    <row r="47" spans="1:10" ht="15.75" thickTop="1" x14ac:dyDescent="0.25"/>
    <row r="48" spans="1:10" x14ac:dyDescent="0.25">
      <c r="B48" s="76" t="s">
        <v>318</v>
      </c>
      <c r="C48" s="75">
        <f t="shared" ref="C48:J48" si="13">+C5+C42</f>
        <v>-193178.28950000001</v>
      </c>
      <c r="D48" s="75">
        <f t="shared" si="13"/>
        <v>-95365.973700000002</v>
      </c>
      <c r="E48" s="75">
        <f t="shared" si="13"/>
        <v>1290.9055040441899</v>
      </c>
      <c r="F48" s="75">
        <f t="shared" si="13"/>
        <v>-94075.068195955813</v>
      </c>
      <c r="G48" s="75">
        <f t="shared" si="13"/>
        <v>3993</v>
      </c>
      <c r="H48" s="75">
        <f t="shared" ref="H48" si="14">+H5+H42</f>
        <v>661</v>
      </c>
      <c r="I48" s="75">
        <f t="shared" si="13"/>
        <v>7789</v>
      </c>
      <c r="J48" s="75">
        <f t="shared" si="13"/>
        <v>-81632.068195955813</v>
      </c>
    </row>
    <row r="49" spans="2:10" x14ac:dyDescent="0.25">
      <c r="B49" s="76" t="s">
        <v>297</v>
      </c>
      <c r="C49" s="75">
        <f t="shared" ref="C49:J49" si="15">+C22+C43</f>
        <v>-19731.782427500002</v>
      </c>
      <c r="D49" s="75">
        <f t="shared" si="15"/>
        <v>-19731.704796500002</v>
      </c>
      <c r="E49" s="75">
        <f t="shared" si="15"/>
        <v>267.09449595580975</v>
      </c>
      <c r="F49" s="75">
        <f t="shared" si="15"/>
        <v>-19464.610300544195</v>
      </c>
      <c r="G49" s="75">
        <f t="shared" si="15"/>
        <v>826</v>
      </c>
      <c r="H49" s="75">
        <f t="shared" ref="H49" si="16">+H22+H43</f>
        <v>137</v>
      </c>
      <c r="I49" s="75">
        <f t="shared" si="15"/>
        <v>1611</v>
      </c>
      <c r="J49" s="75">
        <f t="shared" si="15"/>
        <v>-16890.610300544195</v>
      </c>
    </row>
    <row r="50" spans="2:10" x14ac:dyDescent="0.25">
      <c r="C50" s="69"/>
      <c r="D50" s="69"/>
      <c r="E50" s="69"/>
      <c r="F50" s="69"/>
      <c r="G50" s="69"/>
      <c r="H50" s="69"/>
      <c r="I50" s="69"/>
      <c r="J50" s="69"/>
    </row>
    <row r="51" spans="2:10" x14ac:dyDescent="0.25">
      <c r="B51" s="20" t="s">
        <v>154</v>
      </c>
      <c r="C51" s="75">
        <f>SUM(C48:C50)</f>
        <v>-212910.07192750002</v>
      </c>
      <c r="D51" s="75">
        <f t="shared" ref="D51:J51" si="17">SUM(D48:D50)</f>
        <v>-115097.67849650001</v>
      </c>
      <c r="E51" s="75">
        <f t="shared" ref="E51:F51" si="18">SUM(E48:E50)</f>
        <v>1557.9999999999995</v>
      </c>
      <c r="F51" s="75">
        <f t="shared" si="18"/>
        <v>-113539.67849650001</v>
      </c>
      <c r="G51" s="75">
        <f t="shared" si="17"/>
        <v>4819</v>
      </c>
      <c r="H51" s="75">
        <f t="shared" ref="H51" si="19">SUM(H48:H50)</f>
        <v>798</v>
      </c>
      <c r="I51" s="75">
        <f t="shared" si="17"/>
        <v>9400</v>
      </c>
      <c r="J51" s="75">
        <f t="shared" si="17"/>
        <v>-98522.678496500012</v>
      </c>
    </row>
  </sheetData>
  <pageMargins left="0.7" right="0.7" top="0.75" bottom="0.75" header="0.3" footer="0.3"/>
  <pageSetup scale="57" orientation="portrait" horizontalDpi="4294967293" verticalDpi="0" r:id="rId1"/>
  <headerFooter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workbookViewId="0">
      <selection activeCell="E9" sqref="E9"/>
    </sheetView>
  </sheetViews>
  <sheetFormatPr defaultColWidth="9.140625" defaultRowHeight="12.75" x14ac:dyDescent="0.2"/>
  <cols>
    <col min="1" max="1" width="22.7109375" style="55" customWidth="1"/>
    <col min="2" max="2" width="37.85546875" style="55" customWidth="1"/>
    <col min="3" max="3" width="19" style="55" customWidth="1"/>
    <col min="4" max="4" width="13.28515625" style="55" customWidth="1"/>
    <col min="5" max="5" width="18.7109375" style="55" customWidth="1"/>
    <col min="6" max="6" width="9.140625" style="55" customWidth="1"/>
    <col min="7" max="7" width="12.42578125" style="55" customWidth="1"/>
    <col min="8" max="8" width="16" style="55" customWidth="1"/>
    <col min="9" max="9" width="16.5703125" style="55" customWidth="1"/>
    <col min="10" max="10" width="10.5703125" style="55" customWidth="1"/>
    <col min="11" max="11" width="19.42578125" style="55" customWidth="1"/>
    <col min="12" max="12" width="18.28515625" style="55" customWidth="1"/>
    <col min="13" max="13" width="27" style="55" customWidth="1"/>
    <col min="14" max="14" width="21.85546875" style="55" customWidth="1"/>
    <col min="15" max="15" width="30.5703125" style="55" customWidth="1"/>
    <col min="16" max="16" width="5.140625" style="55" customWidth="1"/>
    <col min="17" max="17" width="19.28515625" style="55" customWidth="1"/>
    <col min="18" max="18" width="5.42578125" style="55" customWidth="1"/>
    <col min="19" max="19" width="14.28515625" style="55" customWidth="1"/>
    <col min="20" max="20" width="19.5703125" style="55" customWidth="1"/>
    <col min="21" max="21" width="12.5703125" style="55" customWidth="1"/>
    <col min="22" max="22" width="16.28515625" style="55" customWidth="1"/>
    <col min="23" max="23" width="9.140625" style="55"/>
    <col min="24" max="24" width="11.5703125" style="55" bestFit="1" customWidth="1"/>
    <col min="25" max="25" width="11.28515625" style="55" bestFit="1" customWidth="1"/>
    <col min="26" max="16384" width="9.140625" style="55"/>
  </cols>
  <sheetData>
    <row r="1" spans="1:25" ht="12.75" customHeight="1" x14ac:dyDescent="0.25">
      <c r="A1" s="368" t="s">
        <v>360</v>
      </c>
      <c r="B1" s="369"/>
      <c r="C1" s="369"/>
      <c r="D1" s="369"/>
      <c r="E1" s="36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5" ht="18" customHeight="1" x14ac:dyDescent="0.25">
      <c r="A2" s="370" t="s">
        <v>189</v>
      </c>
      <c r="B2" s="369"/>
      <c r="C2" s="369"/>
      <c r="D2" s="369"/>
      <c r="E2" s="369"/>
      <c r="F2" s="79" t="s">
        <v>21</v>
      </c>
      <c r="G2" s="79" t="s">
        <v>21</v>
      </c>
      <c r="H2" s="79" t="s">
        <v>21</v>
      </c>
      <c r="I2" s="79" t="s">
        <v>21</v>
      </c>
      <c r="J2" s="79" t="s">
        <v>21</v>
      </c>
      <c r="K2" s="79" t="s">
        <v>21</v>
      </c>
      <c r="L2" s="79" t="s">
        <v>21</v>
      </c>
      <c r="M2" s="79" t="s">
        <v>21</v>
      </c>
      <c r="N2" s="79" t="s">
        <v>21</v>
      </c>
      <c r="O2" s="79" t="s">
        <v>21</v>
      </c>
      <c r="P2" s="79" t="s">
        <v>21</v>
      </c>
      <c r="Q2" s="79" t="s">
        <v>21</v>
      </c>
      <c r="R2" s="79" t="s">
        <v>21</v>
      </c>
      <c r="S2" s="79" t="s">
        <v>21</v>
      </c>
      <c r="T2" s="79" t="s">
        <v>21</v>
      </c>
      <c r="U2" s="79" t="s">
        <v>21</v>
      </c>
      <c r="V2" s="79" t="s">
        <v>21</v>
      </c>
    </row>
    <row r="3" spans="1:25" ht="15" customHeight="1" x14ac:dyDescent="0.25">
      <c r="A3" s="371" t="s">
        <v>188</v>
      </c>
      <c r="B3" s="369"/>
      <c r="C3" s="369"/>
      <c r="D3" s="369"/>
      <c r="E3" s="369"/>
      <c r="F3" s="79" t="s">
        <v>21</v>
      </c>
      <c r="G3" s="79" t="s">
        <v>21</v>
      </c>
      <c r="H3" s="79" t="s">
        <v>21</v>
      </c>
      <c r="I3" s="79" t="s">
        <v>21</v>
      </c>
      <c r="J3" s="79" t="s">
        <v>21</v>
      </c>
      <c r="K3" s="79" t="s">
        <v>21</v>
      </c>
      <c r="L3" s="79" t="s">
        <v>21</v>
      </c>
      <c r="M3" s="79" t="s">
        <v>21</v>
      </c>
      <c r="N3" s="79" t="s">
        <v>21</v>
      </c>
      <c r="O3" s="79" t="s">
        <v>21</v>
      </c>
      <c r="P3" s="79" t="s">
        <v>21</v>
      </c>
      <c r="Q3" s="79" t="s">
        <v>21</v>
      </c>
      <c r="R3" s="79" t="s">
        <v>21</v>
      </c>
      <c r="S3" s="79" t="s">
        <v>21</v>
      </c>
      <c r="T3" s="79" t="s">
        <v>21</v>
      </c>
      <c r="U3" s="79" t="s">
        <v>21</v>
      </c>
      <c r="V3" s="79" t="s">
        <v>21</v>
      </c>
    </row>
    <row r="4" spans="1:25" ht="15" customHeight="1" x14ac:dyDescent="0.25">
      <c r="A4" s="371" t="s">
        <v>361</v>
      </c>
      <c r="B4" s="369"/>
      <c r="C4" s="369"/>
      <c r="D4" s="369"/>
      <c r="E4" s="369"/>
      <c r="F4" s="79" t="s">
        <v>21</v>
      </c>
      <c r="G4" s="79" t="s">
        <v>21</v>
      </c>
      <c r="H4" s="79" t="s">
        <v>21</v>
      </c>
      <c r="I4" s="79" t="s">
        <v>21</v>
      </c>
      <c r="J4" s="79" t="s">
        <v>21</v>
      </c>
      <c r="K4" s="79" t="s">
        <v>21</v>
      </c>
      <c r="L4" s="79" t="s">
        <v>21</v>
      </c>
      <c r="M4" s="79" t="s">
        <v>21</v>
      </c>
      <c r="N4" s="79" t="s">
        <v>21</v>
      </c>
      <c r="O4" s="79" t="s">
        <v>21</v>
      </c>
      <c r="P4" s="79" t="s">
        <v>21</v>
      </c>
      <c r="Q4" s="79" t="s">
        <v>21</v>
      </c>
      <c r="R4" s="79" t="s">
        <v>21</v>
      </c>
      <c r="S4" s="79" t="s">
        <v>21</v>
      </c>
      <c r="T4" s="79" t="s">
        <v>21</v>
      </c>
      <c r="U4" s="79" t="s">
        <v>21</v>
      </c>
      <c r="V4" s="79" t="s">
        <v>21</v>
      </c>
    </row>
    <row r="5" spans="1:25" ht="12.75" customHeight="1" x14ac:dyDescent="0.25">
      <c r="A5" s="371" t="s">
        <v>21</v>
      </c>
      <c r="B5" s="369"/>
      <c r="C5" s="369"/>
      <c r="D5" s="369"/>
      <c r="E5" s="369"/>
      <c r="F5" s="79" t="s">
        <v>21</v>
      </c>
      <c r="G5" s="79" t="s">
        <v>21</v>
      </c>
      <c r="H5" s="79" t="s">
        <v>21</v>
      </c>
      <c r="I5" s="79" t="s">
        <v>21</v>
      </c>
      <c r="J5" s="79" t="s">
        <v>21</v>
      </c>
      <c r="K5" s="79" t="s">
        <v>21</v>
      </c>
      <c r="L5" s="79" t="s">
        <v>21</v>
      </c>
      <c r="M5" s="79" t="s">
        <v>21</v>
      </c>
      <c r="N5" s="79" t="s">
        <v>21</v>
      </c>
      <c r="O5" s="79" t="s">
        <v>21</v>
      </c>
      <c r="P5" s="79" t="s">
        <v>21</v>
      </c>
      <c r="Q5" s="79" t="s">
        <v>21</v>
      </c>
      <c r="R5" s="79" t="s">
        <v>21</v>
      </c>
      <c r="S5" s="79" t="s">
        <v>21</v>
      </c>
      <c r="T5" s="79" t="s">
        <v>21</v>
      </c>
      <c r="U5" s="79" t="s">
        <v>21</v>
      </c>
      <c r="V5" s="79" t="s">
        <v>21</v>
      </c>
    </row>
    <row r="6" spans="1:25" ht="12.75" customHeight="1" x14ac:dyDescent="0.25">
      <c r="A6" s="79" t="s">
        <v>21</v>
      </c>
      <c r="B6" s="79" t="s">
        <v>21</v>
      </c>
      <c r="C6" s="79" t="s">
        <v>21</v>
      </c>
      <c r="D6" s="79" t="s">
        <v>21</v>
      </c>
      <c r="E6" s="79" t="s">
        <v>21</v>
      </c>
      <c r="F6" s="79" t="s">
        <v>21</v>
      </c>
      <c r="G6" s="79" t="s">
        <v>21</v>
      </c>
      <c r="H6" s="79" t="s">
        <v>21</v>
      </c>
      <c r="I6" s="79" t="s">
        <v>21</v>
      </c>
      <c r="J6" s="79" t="s">
        <v>21</v>
      </c>
      <c r="K6" s="79" t="s">
        <v>21</v>
      </c>
      <c r="L6" s="79" t="s">
        <v>21</v>
      </c>
      <c r="M6" s="79" t="s">
        <v>21</v>
      </c>
      <c r="N6" s="79" t="s">
        <v>21</v>
      </c>
      <c r="O6" s="79" t="s">
        <v>21</v>
      </c>
      <c r="P6" s="79" t="s">
        <v>21</v>
      </c>
      <c r="Q6" s="79" t="s">
        <v>21</v>
      </c>
      <c r="R6" s="79" t="s">
        <v>21</v>
      </c>
      <c r="S6" s="79" t="s">
        <v>21</v>
      </c>
      <c r="T6" s="79" t="s">
        <v>21</v>
      </c>
      <c r="U6" s="79" t="s">
        <v>21</v>
      </c>
      <c r="V6" s="79" t="s">
        <v>21</v>
      </c>
    </row>
    <row r="7" spans="1:25" ht="12.75" customHeight="1" x14ac:dyDescent="0.2">
      <c r="A7" s="12" t="s">
        <v>186</v>
      </c>
      <c r="B7" s="12" t="s">
        <v>185</v>
      </c>
      <c r="C7" s="12" t="s">
        <v>184</v>
      </c>
      <c r="D7" s="12" t="s">
        <v>183</v>
      </c>
      <c r="E7" s="12" t="s">
        <v>182</v>
      </c>
      <c r="F7" s="12" t="s">
        <v>181</v>
      </c>
      <c r="G7" s="12" t="s">
        <v>180</v>
      </c>
      <c r="H7" s="12" t="s">
        <v>179</v>
      </c>
      <c r="I7" s="12" t="s">
        <v>204</v>
      </c>
      <c r="J7" s="12" t="s">
        <v>193</v>
      </c>
      <c r="K7" s="12" t="s">
        <v>194</v>
      </c>
      <c r="L7" s="12" t="s">
        <v>195</v>
      </c>
      <c r="M7" s="12" t="s">
        <v>196</v>
      </c>
      <c r="N7" s="12" t="s">
        <v>197</v>
      </c>
      <c r="O7" s="12" t="s">
        <v>198</v>
      </c>
      <c r="P7" s="12" t="s">
        <v>178</v>
      </c>
      <c r="Q7" s="12" t="s">
        <v>177</v>
      </c>
      <c r="R7" s="12" t="s">
        <v>176</v>
      </c>
      <c r="S7" s="12" t="s">
        <v>175</v>
      </c>
      <c r="T7" s="12" t="s">
        <v>174</v>
      </c>
      <c r="U7" s="12" t="s">
        <v>173</v>
      </c>
      <c r="V7" s="12" t="s">
        <v>172</v>
      </c>
      <c r="X7" s="12" t="s">
        <v>207</v>
      </c>
    </row>
    <row r="8" spans="1:25" ht="12.75" customHeight="1" x14ac:dyDescent="0.25">
      <c r="A8" s="79" t="s">
        <v>26</v>
      </c>
      <c r="B8" s="79" t="s">
        <v>171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X8" s="33">
        <f>V8-J8-L8-N8</f>
        <v>0</v>
      </c>
      <c r="Y8" s="33">
        <f>'FT ADIT Before-After'!F10</f>
        <v>0</v>
      </c>
    </row>
    <row r="9" spans="1:25" ht="12.75" customHeight="1" x14ac:dyDescent="0.25">
      <c r="A9" s="79" t="s">
        <v>49</v>
      </c>
      <c r="B9" s="79" t="s">
        <v>291</v>
      </c>
      <c r="C9" s="32">
        <v>347</v>
      </c>
      <c r="D9" s="32">
        <v>0</v>
      </c>
      <c r="E9" s="32">
        <v>0</v>
      </c>
      <c r="F9" s="32">
        <v>0</v>
      </c>
      <c r="G9" s="32">
        <v>347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-119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228</v>
      </c>
      <c r="X9" s="33">
        <f t="shared" ref="X9:X23" si="0">V9-J9-L9-N9</f>
        <v>347</v>
      </c>
      <c r="Y9" s="33">
        <f>'FT ADIT Before-After'!F11</f>
        <v>347</v>
      </c>
    </row>
    <row r="10" spans="1:25" ht="12.75" customHeight="1" x14ac:dyDescent="0.25">
      <c r="A10" s="79" t="s">
        <v>292</v>
      </c>
      <c r="B10" s="79" t="s">
        <v>293</v>
      </c>
      <c r="C10" s="32">
        <v>-73782</v>
      </c>
      <c r="D10" s="32">
        <v>0</v>
      </c>
      <c r="E10" s="32">
        <v>0</v>
      </c>
      <c r="F10" s="32">
        <v>0</v>
      </c>
      <c r="G10" s="32">
        <v>-73782</v>
      </c>
      <c r="H10" s="32">
        <v>-18360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31602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-60539</v>
      </c>
      <c r="X10" s="33">
        <f t="shared" si="0"/>
        <v>-92141</v>
      </c>
      <c r="Y10" s="33">
        <f>'FT ADIT Before-After'!F12</f>
        <v>-92141</v>
      </c>
    </row>
    <row r="11" spans="1:25" ht="12.75" customHeight="1" x14ac:dyDescent="0.25">
      <c r="A11" s="79" t="s">
        <v>51</v>
      </c>
      <c r="B11" s="79" t="s">
        <v>170</v>
      </c>
      <c r="C11" s="32">
        <v>609</v>
      </c>
      <c r="D11" s="32">
        <v>0</v>
      </c>
      <c r="E11" s="32">
        <v>0</v>
      </c>
      <c r="F11" s="32">
        <v>0</v>
      </c>
      <c r="G11" s="32">
        <v>609</v>
      </c>
      <c r="H11" s="32">
        <v>96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-242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463</v>
      </c>
      <c r="X11" s="33">
        <f t="shared" si="0"/>
        <v>705</v>
      </c>
      <c r="Y11" s="33">
        <f>'FT ADIT Before-After'!F13</f>
        <v>706</v>
      </c>
    </row>
    <row r="12" spans="1:25" ht="12.75" customHeight="1" x14ac:dyDescent="0.25">
      <c r="A12" s="79" t="s">
        <v>169</v>
      </c>
      <c r="B12" s="79" t="s">
        <v>168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X12" s="33">
        <f t="shared" si="0"/>
        <v>0</v>
      </c>
      <c r="Y12" s="33">
        <f>'FT ADIT Before-After'!F14</f>
        <v>0</v>
      </c>
    </row>
    <row r="13" spans="1:25" ht="12.75" customHeight="1" x14ac:dyDescent="0.25">
      <c r="A13" s="79" t="s">
        <v>242</v>
      </c>
      <c r="B13" s="79" t="s">
        <v>294</v>
      </c>
      <c r="C13" s="32">
        <v>-2159</v>
      </c>
      <c r="D13" s="32">
        <v>0</v>
      </c>
      <c r="E13" s="32">
        <v>0</v>
      </c>
      <c r="F13" s="32">
        <v>-158</v>
      </c>
      <c r="G13" s="32">
        <v>-2317</v>
      </c>
      <c r="H13" s="32">
        <v>5486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-1087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2082</v>
      </c>
      <c r="X13" s="33">
        <f t="shared" si="0"/>
        <v>3169</v>
      </c>
      <c r="Y13" s="33">
        <f>'FT ADIT Before-After'!F15</f>
        <v>3169</v>
      </c>
    </row>
    <row r="14" spans="1:25" ht="12.75" customHeight="1" x14ac:dyDescent="0.25">
      <c r="A14" s="79" t="s">
        <v>167</v>
      </c>
      <c r="B14" s="79" t="s">
        <v>166</v>
      </c>
      <c r="C14" s="32">
        <v>-87116</v>
      </c>
      <c r="D14" s="32">
        <v>0</v>
      </c>
      <c r="E14" s="32">
        <v>0</v>
      </c>
      <c r="F14" s="32">
        <v>-288</v>
      </c>
      <c r="G14" s="32">
        <v>-87404</v>
      </c>
      <c r="H14" s="32">
        <v>-19368</v>
      </c>
      <c r="I14" s="32">
        <v>0</v>
      </c>
      <c r="J14" s="32">
        <v>36619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-70153</v>
      </c>
      <c r="X14" s="33">
        <f t="shared" si="0"/>
        <v>-106772</v>
      </c>
      <c r="Y14" s="33">
        <f>'FT ADIT Before-After'!F16</f>
        <v>-106772</v>
      </c>
    </row>
    <row r="15" spans="1:25" ht="12.75" customHeight="1" x14ac:dyDescent="0.25">
      <c r="A15" s="79" t="s">
        <v>165</v>
      </c>
      <c r="B15" s="79" t="s">
        <v>164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X15" s="33">
        <f t="shared" si="0"/>
        <v>0</v>
      </c>
      <c r="Y15" s="33">
        <f>'FT ADIT Before-After'!F17</f>
        <v>0</v>
      </c>
    </row>
    <row r="16" spans="1:25" ht="12.75" customHeight="1" x14ac:dyDescent="0.25">
      <c r="A16" s="79" t="s">
        <v>163</v>
      </c>
      <c r="B16" s="79" t="s">
        <v>147</v>
      </c>
      <c r="C16" s="32">
        <v>-1485</v>
      </c>
      <c r="D16" s="32">
        <v>0</v>
      </c>
      <c r="E16" s="32">
        <v>0</v>
      </c>
      <c r="F16" s="32">
        <v>0</v>
      </c>
      <c r="G16" s="32">
        <v>-1485</v>
      </c>
      <c r="H16" s="32">
        <v>-7831</v>
      </c>
      <c r="I16" s="32">
        <v>0</v>
      </c>
      <c r="J16" s="32">
        <v>3195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-6121</v>
      </c>
      <c r="X16" s="33">
        <f t="shared" si="0"/>
        <v>-9316</v>
      </c>
      <c r="Y16" s="33">
        <f>'FT ADIT Before-After'!F18</f>
        <v>-9316</v>
      </c>
    </row>
    <row r="17" spans="1:25" ht="12.75" customHeight="1" x14ac:dyDescent="0.25">
      <c r="A17" s="79" t="s">
        <v>162</v>
      </c>
      <c r="B17" s="79" t="s">
        <v>161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X17" s="33">
        <f t="shared" si="0"/>
        <v>0</v>
      </c>
      <c r="Y17" s="33">
        <f>'FT ADIT Before-After'!F19</f>
        <v>0</v>
      </c>
    </row>
    <row r="18" spans="1:25" ht="12.75" customHeight="1" x14ac:dyDescent="0.25">
      <c r="A18" s="79" t="s">
        <v>87</v>
      </c>
      <c r="B18" s="79" t="s">
        <v>160</v>
      </c>
      <c r="C18" s="32">
        <v>-451</v>
      </c>
      <c r="D18" s="32">
        <v>0</v>
      </c>
      <c r="E18" s="32">
        <v>0</v>
      </c>
      <c r="F18" s="32">
        <v>0</v>
      </c>
      <c r="G18" s="32">
        <v>-451</v>
      </c>
      <c r="H18" s="32">
        <v>-5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156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-300</v>
      </c>
      <c r="X18" s="33">
        <f t="shared" si="0"/>
        <v>-456</v>
      </c>
      <c r="Y18" s="33">
        <f>'FT ADIT Before-After'!F20</f>
        <v>-456</v>
      </c>
    </row>
    <row r="19" spans="1:25" ht="12.75" customHeight="1" x14ac:dyDescent="0.25">
      <c r="A19" s="79" t="s">
        <v>50</v>
      </c>
      <c r="B19" s="79" t="s">
        <v>159</v>
      </c>
      <c r="C19" s="32">
        <v>-74562</v>
      </c>
      <c r="D19" s="32">
        <v>0</v>
      </c>
      <c r="E19" s="32">
        <v>0</v>
      </c>
      <c r="F19" s="32">
        <v>0</v>
      </c>
      <c r="G19" s="32">
        <v>-74562</v>
      </c>
      <c r="H19" s="32">
        <v>79123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-1564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2997</v>
      </c>
      <c r="X19" s="33">
        <f t="shared" si="0"/>
        <v>4561</v>
      </c>
      <c r="Y19" s="33">
        <f>'FT ADIT Before-After'!F21</f>
        <v>4561</v>
      </c>
    </row>
    <row r="20" spans="1:25" ht="12.75" customHeight="1" x14ac:dyDescent="0.25">
      <c r="A20" s="79" t="s">
        <v>127</v>
      </c>
      <c r="B20" s="79" t="s">
        <v>158</v>
      </c>
      <c r="C20" s="32">
        <v>-151</v>
      </c>
      <c r="D20" s="32">
        <v>0</v>
      </c>
      <c r="E20" s="32">
        <v>0</v>
      </c>
      <c r="F20" s="32">
        <v>0</v>
      </c>
      <c r="G20" s="32">
        <v>-151</v>
      </c>
      <c r="H20" s="32">
        <v>12</v>
      </c>
      <c r="I20" s="32">
        <v>0</v>
      </c>
      <c r="J20" s="32">
        <v>0</v>
      </c>
      <c r="K20" s="32">
        <v>0</v>
      </c>
      <c r="L20" s="32">
        <v>48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-91</v>
      </c>
      <c r="X20" s="33">
        <f t="shared" si="0"/>
        <v>-139</v>
      </c>
      <c r="Y20" s="33">
        <f>'FT ADIT Before-After'!F22</f>
        <v>-139</v>
      </c>
    </row>
    <row r="21" spans="1:25" ht="12.75" customHeight="1" x14ac:dyDescent="0.25">
      <c r="A21" s="79" t="s">
        <v>157</v>
      </c>
      <c r="B21" s="79" t="s">
        <v>156</v>
      </c>
      <c r="C21" s="32">
        <v>-12869</v>
      </c>
      <c r="D21" s="32">
        <v>0</v>
      </c>
      <c r="E21" s="32">
        <v>0</v>
      </c>
      <c r="F21" s="32">
        <v>0</v>
      </c>
      <c r="G21" s="32">
        <v>-12869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4414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-8455</v>
      </c>
      <c r="X21" s="33">
        <f t="shared" si="0"/>
        <v>-12869</v>
      </c>
      <c r="Y21" s="33">
        <f>'FT ADIT Before-After'!F24</f>
        <v>-12869</v>
      </c>
    </row>
    <row r="22" spans="1:25" ht="12.75" customHeight="1" x14ac:dyDescent="0.25">
      <c r="A22" s="79" t="s">
        <v>132</v>
      </c>
      <c r="B22" s="79" t="s">
        <v>192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13517</v>
      </c>
      <c r="L22" s="32">
        <v>0</v>
      </c>
      <c r="M22" s="32">
        <v>16</v>
      </c>
      <c r="N22" s="32">
        <v>0</v>
      </c>
      <c r="O22" s="32">
        <v>11258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24791</v>
      </c>
      <c r="X22" s="98"/>
      <c r="Y22" s="33">
        <f>'FT ADIT Before-After'!F26</f>
        <v>0</v>
      </c>
    </row>
    <row r="23" spans="1:25" ht="12.75" customHeight="1" x14ac:dyDescent="0.25">
      <c r="A23" s="79" t="s">
        <v>155</v>
      </c>
      <c r="B23" s="79" t="s">
        <v>155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X23" s="33">
        <f t="shared" si="0"/>
        <v>0</v>
      </c>
      <c r="Y23" s="33" t="str">
        <f>'FT ADIT Before-After'!F27</f>
        <v/>
      </c>
    </row>
    <row r="24" spans="1:25" ht="12.75" customHeight="1" x14ac:dyDescent="0.25">
      <c r="A24" s="79" t="s">
        <v>21</v>
      </c>
      <c r="B24" s="79" t="s">
        <v>21</v>
      </c>
      <c r="C24" s="79" t="s">
        <v>21</v>
      </c>
      <c r="D24" s="79" t="s">
        <v>21</v>
      </c>
      <c r="E24" s="79" t="s">
        <v>21</v>
      </c>
      <c r="F24" s="79" t="s">
        <v>21</v>
      </c>
      <c r="G24" s="79" t="s">
        <v>21</v>
      </c>
      <c r="H24" s="79" t="s">
        <v>21</v>
      </c>
      <c r="I24" s="79" t="s">
        <v>21</v>
      </c>
      <c r="J24" s="79" t="s">
        <v>21</v>
      </c>
      <c r="K24" s="79" t="s">
        <v>21</v>
      </c>
      <c r="L24" s="79" t="s">
        <v>21</v>
      </c>
      <c r="M24" s="79" t="s">
        <v>21</v>
      </c>
      <c r="N24" s="79" t="s">
        <v>21</v>
      </c>
      <c r="O24" s="79" t="s">
        <v>21</v>
      </c>
      <c r="P24" s="79" t="s">
        <v>21</v>
      </c>
      <c r="Q24" s="79" t="s">
        <v>21</v>
      </c>
      <c r="R24" s="79" t="s">
        <v>21</v>
      </c>
      <c r="S24" s="79" t="s">
        <v>21</v>
      </c>
      <c r="T24" s="79" t="s">
        <v>21</v>
      </c>
      <c r="U24" s="79" t="s">
        <v>21</v>
      </c>
      <c r="V24" s="79" t="s">
        <v>21</v>
      </c>
      <c r="X24" s="33"/>
      <c r="Y24" s="33"/>
    </row>
    <row r="25" spans="1:25" ht="12.75" customHeight="1" thickBot="1" x14ac:dyDescent="0.3">
      <c r="A25" s="11" t="s">
        <v>154</v>
      </c>
      <c r="B25" s="11" t="s">
        <v>21</v>
      </c>
      <c r="C25" s="34">
        <v>-251617</v>
      </c>
      <c r="D25" s="34">
        <v>0</v>
      </c>
      <c r="E25" s="34">
        <v>0</v>
      </c>
      <c r="F25" s="34">
        <v>-446</v>
      </c>
      <c r="G25" s="34">
        <v>-252063</v>
      </c>
      <c r="H25" s="34">
        <v>39154</v>
      </c>
      <c r="I25" s="34">
        <v>0</v>
      </c>
      <c r="J25" s="34">
        <v>39814</v>
      </c>
      <c r="K25" s="34">
        <v>13517</v>
      </c>
      <c r="L25" s="57">
        <v>48</v>
      </c>
      <c r="M25" s="57">
        <v>16</v>
      </c>
      <c r="N25" s="57">
        <v>33160</v>
      </c>
      <c r="O25" s="57">
        <v>11258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-115097</v>
      </c>
      <c r="X25" s="34">
        <f>SUM(X8:X24)</f>
        <v>-212911</v>
      </c>
      <c r="Y25" s="34">
        <f>SUM(Y8:Y24)</f>
        <v>-212910</v>
      </c>
    </row>
    <row r="26" spans="1:25" ht="12.75" customHeight="1" thickTop="1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X26" s="96"/>
      <c r="Y26" s="96"/>
    </row>
    <row r="27" spans="1:25" ht="12.75" customHeight="1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81" t="s">
        <v>205</v>
      </c>
      <c r="L27" s="80" t="s">
        <v>206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X27" s="96"/>
      <c r="Y27" s="96"/>
    </row>
    <row r="28" spans="1:25" ht="12.75" customHeight="1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3">
        <f>SUM(J25:K25)</f>
        <v>53331</v>
      </c>
      <c r="L28" s="73">
        <f>SUM(L25:O25)</f>
        <v>44482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X28" s="96"/>
      <c r="Y28" s="96"/>
    </row>
    <row r="29" spans="1:25" ht="12.75" customHeight="1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X29" s="96"/>
      <c r="Y29" s="96"/>
    </row>
    <row r="30" spans="1:25" ht="12.75" customHeight="1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X30" s="96"/>
      <c r="Y30" s="96"/>
    </row>
    <row r="31" spans="1:25" ht="12.7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X31" s="96"/>
      <c r="Y31" s="96"/>
    </row>
    <row r="32" spans="1:25" ht="12.75" customHeight="1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X32" s="96"/>
      <c r="Y32" s="96"/>
    </row>
    <row r="33" spans="1:25" ht="12.75" customHeight="1" x14ac:dyDescent="0.2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X33" s="96"/>
      <c r="Y33" s="96"/>
    </row>
    <row r="34" spans="1:25" ht="12.7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X34" s="96"/>
      <c r="Y34" s="97"/>
    </row>
    <row r="35" spans="1:25" ht="12.7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X35" s="96"/>
      <c r="Y35" s="96"/>
    </row>
    <row r="36" spans="1:25" ht="12.7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X36" s="96"/>
      <c r="Y36" s="96"/>
    </row>
    <row r="37" spans="1:25" ht="12.7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X37" s="96"/>
      <c r="Y37" s="96"/>
    </row>
    <row r="38" spans="1:25" ht="12.7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X38" s="96"/>
      <c r="Y38" s="96"/>
    </row>
    <row r="39" spans="1:25" ht="12.7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X39" s="96"/>
      <c r="Y39" s="96"/>
    </row>
    <row r="40" spans="1:25" ht="15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X40" s="96"/>
      <c r="Y40" s="96"/>
    </row>
    <row r="41" spans="1:25" ht="15" x14ac:dyDescent="0.25">
      <c r="A41" s="91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X41" s="96"/>
      <c r="Y41" s="96"/>
    </row>
    <row r="42" spans="1:25" ht="15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X42" s="97"/>
      <c r="Y42" s="97"/>
    </row>
    <row r="43" spans="1:25" ht="15" x14ac:dyDescent="0.25">
      <c r="A43" s="93"/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X43" s="90"/>
      <c r="Y43" s="97"/>
    </row>
    <row r="44" spans="1:25" ht="15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X44" s="97"/>
      <c r="Y44" s="97"/>
    </row>
    <row r="45" spans="1:25" ht="15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X45" s="97"/>
      <c r="Y45" s="97"/>
    </row>
    <row r="46" spans="1:25" ht="15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X46" s="97"/>
      <c r="Y46" s="97"/>
    </row>
    <row r="47" spans="1:25" ht="15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5"/>
      <c r="L47" s="95"/>
      <c r="M47" s="91"/>
      <c r="N47" s="91"/>
      <c r="O47" s="91"/>
      <c r="P47" s="91"/>
      <c r="Q47" s="91"/>
      <c r="R47" s="91"/>
      <c r="S47" s="91"/>
      <c r="T47" s="91"/>
      <c r="U47" s="91"/>
      <c r="V47" s="91"/>
      <c r="X47" s="97"/>
      <c r="Y47" s="97"/>
    </row>
    <row r="48" spans="1:25" ht="15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X48" s="97"/>
      <c r="Y48" s="97"/>
    </row>
    <row r="49" spans="1:25" ht="15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X49" s="97"/>
      <c r="Y49" s="97"/>
    </row>
    <row r="50" spans="1:25" ht="1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X50" s="97"/>
      <c r="Y50" s="97"/>
    </row>
    <row r="51" spans="1:25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X51" s="97"/>
      <c r="Y51" s="97"/>
    </row>
    <row r="52" spans="1:25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5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1:25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  <row r="55" spans="1:25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  <row r="56" spans="1:25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</row>
    <row r="57" spans="1:25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32" orientation="landscape" horizontalDpi="300" verticalDpi="300" r:id="rId1"/>
  <headerFooter alignWithMargins="0">
    <oddHeader>&amp;L&amp;"Arial,Bold"&amp;10</oddHeader>
    <oddFooter>&amp;L&amp;"Arial,Bold"&amp;10&amp;R&amp;"Arial,Bold"&amp;10&amp;P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9"/>
  <sheetViews>
    <sheetView workbookViewId="0">
      <selection activeCell="E9" sqref="E9"/>
    </sheetView>
  </sheetViews>
  <sheetFormatPr defaultRowHeight="15" x14ac:dyDescent="0.25"/>
  <cols>
    <col min="1" max="1" width="14.85546875" customWidth="1"/>
    <col min="2" max="2" width="16.28515625" customWidth="1"/>
    <col min="3" max="3" width="10.7109375" customWidth="1"/>
    <col min="4" max="4" width="11.28515625" customWidth="1"/>
    <col min="5" max="5" width="14.85546875" customWidth="1"/>
    <col min="6" max="6" width="10.5703125" customWidth="1"/>
    <col min="7" max="7" width="20.42578125" customWidth="1"/>
    <col min="8" max="8" width="17.5703125" customWidth="1"/>
    <col min="9" max="9" width="19.140625" customWidth="1"/>
    <col min="10" max="10" width="20.28515625" customWidth="1"/>
    <col min="11" max="11" width="13.7109375" customWidth="1"/>
    <col min="12" max="12" width="21.140625" customWidth="1"/>
    <col min="13" max="13" width="13.140625" customWidth="1"/>
    <col min="14" max="14" width="28.7109375" customWidth="1"/>
    <col min="15" max="15" width="23.42578125" customWidth="1"/>
    <col min="16" max="16" width="24.28515625" customWidth="1"/>
    <col min="17" max="17" width="23.7109375" customWidth="1"/>
    <col min="18" max="18" width="12.42578125" customWidth="1"/>
    <col min="19" max="19" width="36.85546875" customWidth="1"/>
    <col min="20" max="20" width="32" customWidth="1"/>
    <col min="21" max="21" width="21.140625" customWidth="1"/>
    <col min="22" max="22" width="35.140625" customWidth="1"/>
    <col min="23" max="23" width="31.28515625" customWidth="1"/>
    <col min="24" max="25" width="12.42578125" customWidth="1"/>
    <col min="26" max="26" width="30.5703125" bestFit="1" customWidth="1"/>
    <col min="27" max="27" width="33.85546875" bestFit="1" customWidth="1"/>
    <col min="28" max="28" width="25.28515625" bestFit="1" customWidth="1"/>
    <col min="29" max="29" width="28.42578125" bestFit="1" customWidth="1"/>
    <col min="30" max="30" width="26.140625" bestFit="1" customWidth="1"/>
    <col min="31" max="31" width="29.28515625" bestFit="1" customWidth="1"/>
    <col min="32" max="32" width="25.5703125" bestFit="1" customWidth="1"/>
    <col min="33" max="33" width="28.7109375" bestFit="1" customWidth="1"/>
    <col min="34" max="34" width="14.28515625" bestFit="1" customWidth="1"/>
    <col min="35" max="35" width="17.5703125" bestFit="1" customWidth="1"/>
    <col min="36" max="36" width="38.7109375" bestFit="1" customWidth="1"/>
    <col min="37" max="37" width="41.85546875" bestFit="1" customWidth="1"/>
    <col min="38" max="38" width="33.85546875" bestFit="1" customWidth="1"/>
    <col min="39" max="39" width="37" bestFit="1" customWidth="1"/>
    <col min="40" max="40" width="23" bestFit="1" customWidth="1"/>
    <col min="41" max="41" width="26.28515625" bestFit="1" customWidth="1"/>
    <col min="42" max="42" width="37" bestFit="1" customWidth="1"/>
    <col min="43" max="43" width="40.140625" bestFit="1" customWidth="1"/>
    <col min="44" max="44" width="33.140625" bestFit="1" customWidth="1"/>
    <col min="45" max="45" width="36.28515625" bestFit="1" customWidth="1"/>
    <col min="46" max="46" width="12.42578125" bestFit="1" customWidth="1"/>
  </cols>
  <sheetData>
    <row r="2" spans="1:4" x14ac:dyDescent="0.25">
      <c r="A2" s="8" t="s">
        <v>4</v>
      </c>
      <c r="B2" s="79" t="s">
        <v>261</v>
      </c>
    </row>
    <row r="3" spans="1:4" x14ac:dyDescent="0.25">
      <c r="A3" s="8" t="s">
        <v>0</v>
      </c>
      <c r="B3" s="79" t="s">
        <v>39</v>
      </c>
    </row>
    <row r="5" spans="1:4" x14ac:dyDescent="0.25">
      <c r="A5" s="8" t="s">
        <v>151</v>
      </c>
      <c r="B5" s="8" t="s">
        <v>153</v>
      </c>
    </row>
    <row r="6" spans="1:4" x14ac:dyDescent="0.25">
      <c r="A6" s="8" t="s">
        <v>149</v>
      </c>
      <c r="B6" s="2">
        <v>43100</v>
      </c>
      <c r="C6" s="2">
        <v>43159</v>
      </c>
      <c r="D6" s="2" t="s">
        <v>150</v>
      </c>
    </row>
    <row r="7" spans="1:4" x14ac:dyDescent="0.25">
      <c r="A7" s="10" t="s">
        <v>49</v>
      </c>
      <c r="B7" s="9">
        <v>31483</v>
      </c>
      <c r="C7" s="9"/>
      <c r="D7" s="9">
        <v>31483</v>
      </c>
    </row>
    <row r="8" spans="1:4" x14ac:dyDescent="0.25">
      <c r="A8" s="10" t="s">
        <v>51</v>
      </c>
      <c r="B8" s="9">
        <v>-242</v>
      </c>
      <c r="C8" s="9"/>
      <c r="D8" s="9">
        <v>-242</v>
      </c>
    </row>
    <row r="9" spans="1:4" x14ac:dyDescent="0.25">
      <c r="A9" s="10" t="s">
        <v>44</v>
      </c>
      <c r="B9" s="9"/>
      <c r="C9" s="9">
        <v>1426</v>
      </c>
      <c r="D9" s="9">
        <v>1426</v>
      </c>
    </row>
    <row r="10" spans="1:4" x14ac:dyDescent="0.25">
      <c r="A10" s="10" t="s">
        <v>41</v>
      </c>
      <c r="B10" s="9">
        <v>39814</v>
      </c>
      <c r="C10" s="9"/>
      <c r="D10" s="9">
        <v>39814</v>
      </c>
    </row>
    <row r="11" spans="1:4" x14ac:dyDescent="0.25">
      <c r="A11" s="10" t="s">
        <v>87</v>
      </c>
      <c r="B11" s="9">
        <v>156</v>
      </c>
      <c r="C11" s="9"/>
      <c r="D11" s="9">
        <v>156</v>
      </c>
    </row>
    <row r="12" spans="1:4" x14ac:dyDescent="0.25">
      <c r="A12" s="10" t="s">
        <v>50</v>
      </c>
      <c r="B12" s="9">
        <v>-1564</v>
      </c>
      <c r="C12" s="9"/>
      <c r="D12" s="9">
        <v>-1564</v>
      </c>
    </row>
    <row r="13" spans="1:4" x14ac:dyDescent="0.25">
      <c r="A13" s="10" t="s">
        <v>127</v>
      </c>
      <c r="B13" s="9">
        <v>48</v>
      </c>
      <c r="C13" s="9"/>
      <c r="D13" s="9">
        <v>48</v>
      </c>
    </row>
    <row r="14" spans="1:4" x14ac:dyDescent="0.25">
      <c r="A14" s="10" t="s">
        <v>135</v>
      </c>
      <c r="B14" s="9"/>
      <c r="C14" s="9">
        <v>1369</v>
      </c>
      <c r="D14" s="9">
        <v>1369</v>
      </c>
    </row>
    <row r="15" spans="1:4" x14ac:dyDescent="0.25">
      <c r="A15" s="10" t="s">
        <v>122</v>
      </c>
      <c r="B15" s="9">
        <v>4414</v>
      </c>
      <c r="C15" s="9"/>
      <c r="D15" s="9">
        <v>4414</v>
      </c>
    </row>
    <row r="16" spans="1:4" x14ac:dyDescent="0.25">
      <c r="A16" s="10" t="s">
        <v>143</v>
      </c>
      <c r="B16" s="9"/>
      <c r="C16" s="9">
        <v>3063</v>
      </c>
      <c r="D16" s="9">
        <v>3063</v>
      </c>
    </row>
    <row r="17" spans="1:4" x14ac:dyDescent="0.25">
      <c r="A17" s="10" t="s">
        <v>132</v>
      </c>
      <c r="B17" s="9">
        <v>24791</v>
      </c>
      <c r="C17" s="9">
        <v>-1039</v>
      </c>
      <c r="D17" s="9">
        <v>23752</v>
      </c>
    </row>
    <row r="18" spans="1:4" x14ac:dyDescent="0.25">
      <c r="A18" s="10" t="s">
        <v>242</v>
      </c>
      <c r="B18" s="9">
        <v>-1087</v>
      </c>
      <c r="C18" s="9"/>
      <c r="D18" s="9">
        <v>-1087</v>
      </c>
    </row>
    <row r="19" spans="1:4" x14ac:dyDescent="0.25">
      <c r="A19" s="10" t="s">
        <v>150</v>
      </c>
      <c r="B19" s="9">
        <v>97813</v>
      </c>
      <c r="C19" s="9">
        <v>4819</v>
      </c>
      <c r="D19" s="9">
        <v>102632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7"/>
  <sheetViews>
    <sheetView workbookViewId="0">
      <selection activeCell="E9" sqref="E9"/>
    </sheetView>
  </sheetViews>
  <sheetFormatPr defaultRowHeight="15" x14ac:dyDescent="0.25"/>
  <cols>
    <col min="1" max="1" width="14.85546875" bestFit="1" customWidth="1"/>
    <col min="2" max="2" width="17.85546875" customWidth="1"/>
    <col min="3" max="3" width="10.85546875" bestFit="1" customWidth="1"/>
    <col min="4" max="4" width="8" customWidth="1"/>
    <col min="5" max="5" width="10.5703125" customWidth="1"/>
    <col min="6" max="6" width="11.5703125" customWidth="1"/>
    <col min="7" max="7" width="10.5703125" customWidth="1"/>
    <col min="8" max="9" width="13.28515625" bestFit="1" customWidth="1"/>
    <col min="10" max="10" width="9.85546875" customWidth="1"/>
    <col min="11" max="12" width="14.28515625" bestFit="1" customWidth="1"/>
    <col min="13" max="13" width="12.42578125" bestFit="1" customWidth="1"/>
    <col min="14" max="14" width="11.5703125" bestFit="1" customWidth="1"/>
    <col min="15" max="15" width="10.5703125" bestFit="1" customWidth="1"/>
    <col min="16" max="16" width="13.28515625" bestFit="1" customWidth="1"/>
    <col min="17" max="17" width="10.7109375" bestFit="1" customWidth="1"/>
  </cols>
  <sheetData>
    <row r="1" spans="1:19" x14ac:dyDescent="0.25">
      <c r="A1" s="8" t="s">
        <v>4</v>
      </c>
      <c r="B1" s="79" t="s">
        <v>261</v>
      </c>
    </row>
    <row r="2" spans="1:19" x14ac:dyDescent="0.25">
      <c r="A2" s="8" t="s">
        <v>14</v>
      </c>
      <c r="B2" s="79" t="s">
        <v>152</v>
      </c>
    </row>
    <row r="3" spans="1:19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</row>
    <row r="4" spans="1:19" x14ac:dyDescent="0.25">
      <c r="A4" s="8" t="s">
        <v>151</v>
      </c>
      <c r="B4" s="8" t="s">
        <v>153</v>
      </c>
    </row>
    <row r="5" spans="1:19" x14ac:dyDescent="0.25">
      <c r="A5" s="8" t="s">
        <v>149</v>
      </c>
      <c r="B5" s="79" t="s">
        <v>23</v>
      </c>
      <c r="C5" s="79" t="s">
        <v>39</v>
      </c>
      <c r="D5" s="79" t="s">
        <v>17</v>
      </c>
      <c r="E5" s="79" t="s">
        <v>68</v>
      </c>
      <c r="F5" s="79" t="s">
        <v>150</v>
      </c>
    </row>
    <row r="6" spans="1:19" x14ac:dyDescent="0.25">
      <c r="A6" s="10" t="s">
        <v>31</v>
      </c>
      <c r="B6" s="9">
        <v>0</v>
      </c>
      <c r="C6" s="9"/>
      <c r="D6" s="9"/>
      <c r="E6" s="9"/>
      <c r="F6" s="9">
        <v>0</v>
      </c>
    </row>
    <row r="7" spans="1:19" x14ac:dyDescent="0.25">
      <c r="A7" s="10" t="s">
        <v>49</v>
      </c>
      <c r="B7" s="9">
        <v>-91510</v>
      </c>
      <c r="C7" s="9">
        <v>31483</v>
      </c>
      <c r="D7" s="9">
        <v>-636</v>
      </c>
      <c r="E7" s="9">
        <v>347</v>
      </c>
      <c r="F7" s="9">
        <v>-60316</v>
      </c>
      <c r="S7" s="9"/>
    </row>
    <row r="8" spans="1:19" x14ac:dyDescent="0.25">
      <c r="A8" s="10" t="s">
        <v>51</v>
      </c>
      <c r="B8" s="9">
        <v>843</v>
      </c>
      <c r="C8" s="9">
        <v>-242</v>
      </c>
      <c r="D8" s="9"/>
      <c r="E8" s="9">
        <v>-137</v>
      </c>
      <c r="F8" s="9">
        <v>464</v>
      </c>
      <c r="S8" s="9"/>
    </row>
    <row r="9" spans="1:19" x14ac:dyDescent="0.25">
      <c r="A9" s="10" t="s">
        <v>44</v>
      </c>
      <c r="B9" s="9">
        <v>-1</v>
      </c>
      <c r="C9" s="9"/>
      <c r="D9" s="9"/>
      <c r="E9" s="9">
        <v>1</v>
      </c>
      <c r="F9" s="9">
        <v>0</v>
      </c>
      <c r="S9" s="9"/>
    </row>
    <row r="10" spans="1:19" x14ac:dyDescent="0.25">
      <c r="A10" s="10" t="s">
        <v>41</v>
      </c>
      <c r="B10" s="9">
        <v>-116027</v>
      </c>
      <c r="C10" s="9">
        <v>39814</v>
      </c>
      <c r="D10" s="9">
        <v>0</v>
      </c>
      <c r="E10" s="9">
        <v>-64</v>
      </c>
      <c r="F10" s="9">
        <v>-76277</v>
      </c>
      <c r="S10" s="9"/>
    </row>
    <row r="11" spans="1:19" x14ac:dyDescent="0.25">
      <c r="A11" s="10" t="s">
        <v>87</v>
      </c>
      <c r="B11" s="9">
        <v>-456</v>
      </c>
      <c r="C11" s="9">
        <v>156</v>
      </c>
      <c r="D11" s="9"/>
      <c r="E11" s="9"/>
      <c r="F11" s="9">
        <v>-300</v>
      </c>
      <c r="S11" s="9"/>
    </row>
    <row r="12" spans="1:19" x14ac:dyDescent="0.25">
      <c r="A12" s="10" t="s">
        <v>50</v>
      </c>
      <c r="B12" s="9">
        <v>4557</v>
      </c>
      <c r="C12" s="9">
        <v>-1564</v>
      </c>
      <c r="D12" s="9"/>
      <c r="E12" s="9"/>
      <c r="F12" s="9">
        <v>2993</v>
      </c>
      <c r="S12" s="9"/>
    </row>
    <row r="13" spans="1:19" x14ac:dyDescent="0.25">
      <c r="A13" s="10" t="s">
        <v>127</v>
      </c>
      <c r="B13" s="9">
        <v>28</v>
      </c>
      <c r="C13" s="9">
        <v>48</v>
      </c>
      <c r="D13" s="9">
        <v>-167</v>
      </c>
      <c r="E13" s="9"/>
      <c r="F13" s="9">
        <v>-91</v>
      </c>
      <c r="S13" s="9"/>
    </row>
    <row r="14" spans="1:19" x14ac:dyDescent="0.25">
      <c r="A14" s="10" t="s">
        <v>122</v>
      </c>
      <c r="B14" s="9"/>
      <c r="C14" s="9">
        <v>4414</v>
      </c>
      <c r="D14" s="9"/>
      <c r="E14" s="9">
        <v>-12869</v>
      </c>
      <c r="F14" s="9">
        <v>-8455</v>
      </c>
      <c r="S14" s="9"/>
    </row>
    <row r="15" spans="1:19" x14ac:dyDescent="0.25">
      <c r="A15" s="10" t="s">
        <v>123</v>
      </c>
      <c r="B15" s="9"/>
      <c r="C15" s="9"/>
      <c r="D15" s="9">
        <v>0</v>
      </c>
      <c r="E15" s="9"/>
      <c r="F15" s="9">
        <v>0</v>
      </c>
      <c r="S15" s="9"/>
    </row>
    <row r="16" spans="1:19" x14ac:dyDescent="0.25">
      <c r="A16" s="10" t="s">
        <v>132</v>
      </c>
      <c r="B16" s="9"/>
      <c r="C16" s="9">
        <v>24791</v>
      </c>
      <c r="D16" s="9"/>
      <c r="E16" s="9"/>
      <c r="F16" s="9">
        <v>24791</v>
      </c>
      <c r="S16" s="9"/>
    </row>
    <row r="17" spans="1:19" x14ac:dyDescent="0.25">
      <c r="A17" s="10" t="s">
        <v>242</v>
      </c>
      <c r="B17" s="9">
        <v>3248</v>
      </c>
      <c r="C17" s="9">
        <v>-1087</v>
      </c>
      <c r="D17" s="9"/>
      <c r="E17" s="9">
        <v>-79</v>
      </c>
      <c r="F17" s="9">
        <v>2082</v>
      </c>
      <c r="S17" s="9"/>
    </row>
    <row r="18" spans="1:19" x14ac:dyDescent="0.25">
      <c r="A18" s="10" t="s">
        <v>150</v>
      </c>
      <c r="B18" s="9">
        <v>-199318</v>
      </c>
      <c r="C18" s="9">
        <v>97813</v>
      </c>
      <c r="D18" s="9">
        <v>-803</v>
      </c>
      <c r="E18" s="9">
        <v>-12801</v>
      </c>
      <c r="F18" s="9">
        <v>-115109</v>
      </c>
      <c r="G18" s="89">
        <v>43100</v>
      </c>
      <c r="S18" s="9"/>
    </row>
    <row r="19" spans="1:19" x14ac:dyDescent="0.25">
      <c r="S19" s="9"/>
    </row>
    <row r="20" spans="1:19" x14ac:dyDescent="0.25">
      <c r="S20" s="9"/>
    </row>
    <row r="21" spans="1:19" x14ac:dyDescent="0.25">
      <c r="S21" s="9"/>
    </row>
    <row r="22" spans="1:19" x14ac:dyDescent="0.25">
      <c r="S22" s="9"/>
    </row>
    <row r="23" spans="1:19" x14ac:dyDescent="0.25">
      <c r="S23" s="9"/>
    </row>
    <row r="24" spans="1:19" x14ac:dyDescent="0.25">
      <c r="S24" s="9"/>
    </row>
    <row r="25" spans="1:19" x14ac:dyDescent="0.25">
      <c r="I25" s="88"/>
    </row>
    <row r="26" spans="1:19" x14ac:dyDescent="0.25">
      <c r="A26" s="56" t="s">
        <v>150</v>
      </c>
      <c r="B26" s="14">
        <v>-199318</v>
      </c>
      <c r="C26" s="14">
        <v>102632</v>
      </c>
      <c r="D26" s="14">
        <v>-803</v>
      </c>
      <c r="E26" s="14">
        <v>-12801</v>
      </c>
      <c r="F26" s="14">
        <v>-110290</v>
      </c>
      <c r="G26" s="89">
        <v>43159</v>
      </c>
    </row>
    <row r="27" spans="1:19" x14ac:dyDescent="0.25">
      <c r="B27" s="9">
        <f>B26-B18</f>
        <v>0</v>
      </c>
      <c r="C27" s="9">
        <f t="shared" ref="C27:F27" si="0">C26-C18</f>
        <v>4819</v>
      </c>
      <c r="D27" s="9">
        <f t="shared" si="0"/>
        <v>0</v>
      </c>
      <c r="E27" s="9">
        <f t="shared" si="0"/>
        <v>0</v>
      </c>
      <c r="F27" s="9">
        <f t="shared" si="0"/>
        <v>4819</v>
      </c>
    </row>
    <row r="30" spans="1:19" x14ac:dyDescent="0.25">
      <c r="Q30" s="40"/>
    </row>
    <row r="37" spans="13:13" x14ac:dyDescent="0.25">
      <c r="M37" s="40">
        <v>43100</v>
      </c>
    </row>
  </sheetData>
  <pageMargins left="0.7" right="0.7" top="0.75" bottom="0.75" header="0.3" footer="0.3"/>
  <pageSetup orientation="portrait" horizontalDpi="4294967293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81"/>
  <sheetViews>
    <sheetView workbookViewId="0">
      <selection activeCell="E9" sqref="E9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2.7109375" style="3" bestFit="1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23</v>
      </c>
      <c r="B2" s="1" t="s">
        <v>24</v>
      </c>
      <c r="C2" s="1" t="s">
        <v>55</v>
      </c>
      <c r="D2" s="1" t="s">
        <v>324</v>
      </c>
      <c r="E2" s="1" t="s">
        <v>261</v>
      </c>
      <c r="F2" s="1" t="s">
        <v>19</v>
      </c>
      <c r="G2" s="1" t="s">
        <v>41</v>
      </c>
      <c r="H2" s="1" t="s">
        <v>32</v>
      </c>
      <c r="I2" s="1" t="s">
        <v>21</v>
      </c>
      <c r="J2" s="3">
        <v>1000</v>
      </c>
      <c r="K2" s="1" t="s">
        <v>107</v>
      </c>
      <c r="L2" s="1" t="s">
        <v>21</v>
      </c>
      <c r="M2" s="1" t="s">
        <v>21</v>
      </c>
      <c r="N2" s="1" t="s">
        <v>55</v>
      </c>
      <c r="O2" s="2">
        <v>41729</v>
      </c>
      <c r="P2" s="2">
        <v>41736</v>
      </c>
      <c r="Q2" s="1" t="s">
        <v>22</v>
      </c>
    </row>
    <row r="3" spans="1:17" x14ac:dyDescent="0.25">
      <c r="A3" s="1" t="s">
        <v>23</v>
      </c>
      <c r="B3" s="1" t="s">
        <v>24</v>
      </c>
      <c r="C3" s="1" t="s">
        <v>53</v>
      </c>
      <c r="D3" s="1" t="s">
        <v>324</v>
      </c>
      <c r="E3" s="1" t="s">
        <v>261</v>
      </c>
      <c r="F3" s="1" t="s">
        <v>19</v>
      </c>
      <c r="G3" s="1" t="s">
        <v>41</v>
      </c>
      <c r="H3" s="1" t="s">
        <v>32</v>
      </c>
      <c r="I3" s="1" t="s">
        <v>21</v>
      </c>
      <c r="J3" s="3">
        <v>-1000</v>
      </c>
      <c r="K3" s="1" t="s">
        <v>54</v>
      </c>
      <c r="L3" s="1" t="s">
        <v>21</v>
      </c>
      <c r="M3" s="1" t="s">
        <v>21</v>
      </c>
      <c r="N3" s="1" t="s">
        <v>55</v>
      </c>
      <c r="O3" s="2">
        <v>41820</v>
      </c>
      <c r="P3" s="2">
        <v>41815</v>
      </c>
      <c r="Q3" s="1" t="s">
        <v>22</v>
      </c>
    </row>
    <row r="4" spans="1:17" x14ac:dyDescent="0.25">
      <c r="A4" s="1" t="s">
        <v>23</v>
      </c>
      <c r="B4" s="1" t="s">
        <v>24</v>
      </c>
      <c r="C4" s="1" t="s">
        <v>48</v>
      </c>
      <c r="D4" s="1" t="s">
        <v>324</v>
      </c>
      <c r="E4" s="1" t="s">
        <v>261</v>
      </c>
      <c r="F4" s="1" t="s">
        <v>19</v>
      </c>
      <c r="G4" s="1" t="s">
        <v>41</v>
      </c>
      <c r="H4" s="1" t="s">
        <v>32</v>
      </c>
      <c r="I4" s="1" t="s">
        <v>21</v>
      </c>
      <c r="J4" s="3">
        <v>2000</v>
      </c>
      <c r="K4" s="1" t="s">
        <v>103</v>
      </c>
      <c r="L4" s="1" t="s">
        <v>21</v>
      </c>
      <c r="M4" s="1" t="s">
        <v>21</v>
      </c>
      <c r="N4" s="1" t="s">
        <v>48</v>
      </c>
      <c r="O4" s="2">
        <v>41820</v>
      </c>
      <c r="P4" s="2">
        <v>41815</v>
      </c>
      <c r="Q4" s="1" t="s">
        <v>22</v>
      </c>
    </row>
    <row r="5" spans="1:17" x14ac:dyDescent="0.25">
      <c r="A5" s="1" t="s">
        <v>23</v>
      </c>
      <c r="B5" s="1" t="s">
        <v>24</v>
      </c>
      <c r="C5" s="1" t="s">
        <v>73</v>
      </c>
      <c r="D5" s="1" t="s">
        <v>324</v>
      </c>
      <c r="E5" s="1" t="s">
        <v>261</v>
      </c>
      <c r="F5" s="1" t="s">
        <v>19</v>
      </c>
      <c r="G5" s="1" t="s">
        <v>41</v>
      </c>
      <c r="H5" s="1" t="s">
        <v>32</v>
      </c>
      <c r="I5" s="1" t="s">
        <v>21</v>
      </c>
      <c r="J5" s="3">
        <v>2000</v>
      </c>
      <c r="K5" s="1" t="s">
        <v>108</v>
      </c>
      <c r="L5" s="1" t="s">
        <v>21</v>
      </c>
      <c r="M5" s="1" t="s">
        <v>21</v>
      </c>
      <c r="N5" s="1" t="s">
        <v>73</v>
      </c>
      <c r="O5" s="2">
        <v>41912</v>
      </c>
      <c r="P5" s="2">
        <v>41913</v>
      </c>
      <c r="Q5" s="1" t="s">
        <v>22</v>
      </c>
    </row>
    <row r="6" spans="1:17" x14ac:dyDescent="0.25">
      <c r="A6" s="1" t="s">
        <v>23</v>
      </c>
      <c r="B6" s="1" t="s">
        <v>24</v>
      </c>
      <c r="C6" s="1" t="s">
        <v>46</v>
      </c>
      <c r="D6" s="1" t="s">
        <v>324</v>
      </c>
      <c r="E6" s="1" t="s">
        <v>261</v>
      </c>
      <c r="F6" s="1" t="s">
        <v>19</v>
      </c>
      <c r="G6" s="1" t="s">
        <v>41</v>
      </c>
      <c r="H6" s="1" t="s">
        <v>32</v>
      </c>
      <c r="I6" s="1" t="s">
        <v>21</v>
      </c>
      <c r="J6" s="3">
        <v>-2000</v>
      </c>
      <c r="K6" s="1" t="s">
        <v>47</v>
      </c>
      <c r="L6" s="1" t="s">
        <v>21</v>
      </c>
      <c r="M6" s="1" t="s">
        <v>21</v>
      </c>
      <c r="N6" s="1" t="s">
        <v>48</v>
      </c>
      <c r="O6" s="2">
        <v>41912</v>
      </c>
      <c r="P6" s="2">
        <v>41913</v>
      </c>
      <c r="Q6" s="1" t="s">
        <v>22</v>
      </c>
    </row>
    <row r="7" spans="1:17" x14ac:dyDescent="0.25">
      <c r="A7" s="1" t="s">
        <v>17</v>
      </c>
      <c r="B7" s="1" t="s">
        <v>24</v>
      </c>
      <c r="C7" s="1" t="s">
        <v>325</v>
      </c>
      <c r="D7" s="1" t="s">
        <v>326</v>
      </c>
      <c r="E7" s="1" t="s">
        <v>261</v>
      </c>
      <c r="F7" s="1" t="s">
        <v>19</v>
      </c>
      <c r="G7" s="1" t="s">
        <v>49</v>
      </c>
      <c r="H7" s="1" t="s">
        <v>20</v>
      </c>
      <c r="I7" s="1" t="s">
        <v>21</v>
      </c>
      <c r="J7" s="3">
        <v>-264</v>
      </c>
      <c r="K7" s="1" t="s">
        <v>327</v>
      </c>
      <c r="L7" s="1" t="s">
        <v>21</v>
      </c>
      <c r="M7" s="1" t="s">
        <v>21</v>
      </c>
      <c r="N7" s="1" t="s">
        <v>325</v>
      </c>
      <c r="O7" s="2">
        <v>41973</v>
      </c>
      <c r="P7" s="2">
        <v>41983</v>
      </c>
      <c r="Q7" s="1" t="s">
        <v>22</v>
      </c>
    </row>
    <row r="8" spans="1:17" x14ac:dyDescent="0.25">
      <c r="A8" s="1" t="s">
        <v>17</v>
      </c>
      <c r="B8" s="1" t="s">
        <v>24</v>
      </c>
      <c r="C8" s="1" t="s">
        <v>328</v>
      </c>
      <c r="D8" s="1" t="s">
        <v>326</v>
      </c>
      <c r="E8" s="1" t="s">
        <v>261</v>
      </c>
      <c r="F8" s="1" t="s">
        <v>19</v>
      </c>
      <c r="G8" s="1" t="s">
        <v>49</v>
      </c>
      <c r="H8" s="1" t="s">
        <v>20</v>
      </c>
      <c r="I8" s="1" t="s">
        <v>21</v>
      </c>
      <c r="J8" s="3">
        <v>-372</v>
      </c>
      <c r="K8" s="1" t="s">
        <v>329</v>
      </c>
      <c r="L8" s="1" t="s">
        <v>21</v>
      </c>
      <c r="M8" s="1" t="s">
        <v>21</v>
      </c>
      <c r="N8" s="1" t="s">
        <v>328</v>
      </c>
      <c r="O8" s="2">
        <v>41973</v>
      </c>
      <c r="P8" s="2">
        <v>41983</v>
      </c>
      <c r="Q8" s="1" t="s">
        <v>22</v>
      </c>
    </row>
    <row r="9" spans="1:17" x14ac:dyDescent="0.25">
      <c r="A9" s="1" t="s">
        <v>23</v>
      </c>
      <c r="B9" s="1" t="s">
        <v>261</v>
      </c>
      <c r="C9" s="1" t="s">
        <v>330</v>
      </c>
      <c r="D9" s="1" t="s">
        <v>326</v>
      </c>
      <c r="E9" s="1" t="s">
        <v>261</v>
      </c>
      <c r="F9" s="1" t="s">
        <v>19</v>
      </c>
      <c r="G9" s="1" t="s">
        <v>49</v>
      </c>
      <c r="H9" s="1" t="s">
        <v>20</v>
      </c>
      <c r="I9" s="1" t="s">
        <v>21</v>
      </c>
      <c r="J9" s="3">
        <v>-36429</v>
      </c>
      <c r="K9" s="1" t="s">
        <v>102</v>
      </c>
      <c r="L9" s="1" t="s">
        <v>21</v>
      </c>
      <c r="M9" s="1" t="s">
        <v>21</v>
      </c>
      <c r="N9" s="1" t="s">
        <v>330</v>
      </c>
      <c r="O9" s="2">
        <v>42004</v>
      </c>
      <c r="P9" s="2">
        <v>42027</v>
      </c>
      <c r="Q9" s="1" t="s">
        <v>22</v>
      </c>
    </row>
    <row r="10" spans="1:17" x14ac:dyDescent="0.25">
      <c r="A10" s="1" t="s">
        <v>23</v>
      </c>
      <c r="B10" s="1" t="s">
        <v>261</v>
      </c>
      <c r="C10" s="1" t="s">
        <v>330</v>
      </c>
      <c r="D10" s="1" t="s">
        <v>331</v>
      </c>
      <c r="E10" s="1" t="s">
        <v>261</v>
      </c>
      <c r="F10" s="1" t="s">
        <v>19</v>
      </c>
      <c r="G10" s="1" t="s">
        <v>50</v>
      </c>
      <c r="H10" s="1" t="s">
        <v>45</v>
      </c>
      <c r="I10" s="1" t="s">
        <v>21</v>
      </c>
      <c r="J10" s="3">
        <v>-23346</v>
      </c>
      <c r="K10" s="1" t="s">
        <v>93</v>
      </c>
      <c r="L10" s="1" t="s">
        <v>21</v>
      </c>
      <c r="M10" s="1" t="s">
        <v>21</v>
      </c>
      <c r="N10" s="1" t="s">
        <v>330</v>
      </c>
      <c r="O10" s="2">
        <v>42004</v>
      </c>
      <c r="P10" s="2">
        <v>42027</v>
      </c>
      <c r="Q10" s="1" t="s">
        <v>22</v>
      </c>
    </row>
    <row r="11" spans="1:17" x14ac:dyDescent="0.25">
      <c r="A11" s="1" t="s">
        <v>23</v>
      </c>
      <c r="B11" s="1" t="s">
        <v>24</v>
      </c>
      <c r="C11" s="1" t="s">
        <v>119</v>
      </c>
      <c r="D11" s="1" t="s">
        <v>324</v>
      </c>
      <c r="E11" s="1" t="s">
        <v>261</v>
      </c>
      <c r="F11" s="1" t="s">
        <v>19</v>
      </c>
      <c r="G11" s="1" t="s">
        <v>41</v>
      </c>
      <c r="H11" s="1" t="s">
        <v>32</v>
      </c>
      <c r="I11" s="1" t="s">
        <v>21</v>
      </c>
      <c r="J11" s="3">
        <v>-2000</v>
      </c>
      <c r="K11" s="1" t="s">
        <v>118</v>
      </c>
      <c r="L11" s="1" t="s">
        <v>21</v>
      </c>
      <c r="M11" s="1" t="s">
        <v>21</v>
      </c>
      <c r="N11" s="1" t="s">
        <v>73</v>
      </c>
      <c r="O11" s="2">
        <v>42004</v>
      </c>
      <c r="P11" s="2">
        <v>42019</v>
      </c>
      <c r="Q11" s="1" t="s">
        <v>22</v>
      </c>
    </row>
    <row r="12" spans="1:17" x14ac:dyDescent="0.25">
      <c r="A12" s="1" t="s">
        <v>23</v>
      </c>
      <c r="B12" s="1" t="s">
        <v>261</v>
      </c>
      <c r="C12" s="1" t="s">
        <v>330</v>
      </c>
      <c r="D12" s="1" t="s">
        <v>332</v>
      </c>
      <c r="E12" s="1" t="s">
        <v>261</v>
      </c>
      <c r="F12" s="1" t="s">
        <v>19</v>
      </c>
      <c r="G12" s="1" t="s">
        <v>44</v>
      </c>
      <c r="H12" s="1" t="s">
        <v>45</v>
      </c>
      <c r="I12" s="1" t="s">
        <v>21</v>
      </c>
      <c r="J12" s="3">
        <v>4305</v>
      </c>
      <c r="K12" s="1" t="s">
        <v>72</v>
      </c>
      <c r="L12" s="1" t="s">
        <v>21</v>
      </c>
      <c r="M12" s="1" t="s">
        <v>21</v>
      </c>
      <c r="N12" s="1" t="s">
        <v>330</v>
      </c>
      <c r="O12" s="2">
        <v>42004</v>
      </c>
      <c r="P12" s="2">
        <v>42027</v>
      </c>
      <c r="Q12" s="1" t="s">
        <v>22</v>
      </c>
    </row>
    <row r="13" spans="1:17" x14ac:dyDescent="0.25">
      <c r="A13" s="1" t="s">
        <v>23</v>
      </c>
      <c r="B13" s="1" t="s">
        <v>261</v>
      </c>
      <c r="C13" s="1" t="s">
        <v>330</v>
      </c>
      <c r="D13" s="1" t="s">
        <v>333</v>
      </c>
      <c r="E13" s="1" t="s">
        <v>261</v>
      </c>
      <c r="F13" s="1" t="s">
        <v>19</v>
      </c>
      <c r="G13" s="1" t="s">
        <v>51</v>
      </c>
      <c r="H13" s="1" t="s">
        <v>45</v>
      </c>
      <c r="I13" s="1" t="s">
        <v>21</v>
      </c>
      <c r="J13" s="3">
        <v>1579</v>
      </c>
      <c r="K13" s="1" t="s">
        <v>52</v>
      </c>
      <c r="L13" s="1" t="s">
        <v>21</v>
      </c>
      <c r="M13" s="1" t="s">
        <v>21</v>
      </c>
      <c r="N13" s="1" t="s">
        <v>330</v>
      </c>
      <c r="O13" s="2">
        <v>42004</v>
      </c>
      <c r="P13" s="2">
        <v>42027</v>
      </c>
      <c r="Q13" s="1" t="s">
        <v>22</v>
      </c>
    </row>
    <row r="14" spans="1:17" x14ac:dyDescent="0.25">
      <c r="A14" s="1" t="s">
        <v>23</v>
      </c>
      <c r="B14" s="1" t="s">
        <v>261</v>
      </c>
      <c r="C14" s="1" t="s">
        <v>330</v>
      </c>
      <c r="D14" s="1" t="s">
        <v>324</v>
      </c>
      <c r="E14" s="1" t="s">
        <v>261</v>
      </c>
      <c r="F14" s="1" t="s">
        <v>19</v>
      </c>
      <c r="G14" s="1" t="s">
        <v>41</v>
      </c>
      <c r="H14" s="1" t="s">
        <v>32</v>
      </c>
      <c r="I14" s="1" t="s">
        <v>21</v>
      </c>
      <c r="J14" s="3">
        <v>-24480</v>
      </c>
      <c r="K14" s="1" t="s">
        <v>117</v>
      </c>
      <c r="L14" s="1" t="s">
        <v>21</v>
      </c>
      <c r="M14" s="1" t="s">
        <v>21</v>
      </c>
      <c r="N14" s="1" t="s">
        <v>330</v>
      </c>
      <c r="O14" s="2">
        <v>42004</v>
      </c>
      <c r="P14" s="2">
        <v>42027</v>
      </c>
      <c r="Q14" s="1" t="s">
        <v>22</v>
      </c>
    </row>
    <row r="15" spans="1:17" x14ac:dyDescent="0.25">
      <c r="A15" s="1" t="s">
        <v>23</v>
      </c>
      <c r="B15" s="1" t="s">
        <v>261</v>
      </c>
      <c r="C15" s="1" t="s">
        <v>330</v>
      </c>
      <c r="D15" s="1" t="s">
        <v>334</v>
      </c>
      <c r="E15" s="1" t="s">
        <v>261</v>
      </c>
      <c r="F15" s="1" t="s">
        <v>19</v>
      </c>
      <c r="G15" s="1" t="s">
        <v>87</v>
      </c>
      <c r="H15" s="1" t="s">
        <v>45</v>
      </c>
      <c r="I15" s="1" t="s">
        <v>21</v>
      </c>
      <c r="J15" s="3">
        <v>-63</v>
      </c>
      <c r="K15" s="1" t="s">
        <v>88</v>
      </c>
      <c r="L15" s="1" t="s">
        <v>21</v>
      </c>
      <c r="M15" s="1" t="s">
        <v>21</v>
      </c>
      <c r="N15" s="1" t="s">
        <v>330</v>
      </c>
      <c r="O15" s="2">
        <v>42004</v>
      </c>
      <c r="P15" s="2">
        <v>42027</v>
      </c>
      <c r="Q15" s="1" t="s">
        <v>22</v>
      </c>
    </row>
    <row r="16" spans="1:17" x14ac:dyDescent="0.25">
      <c r="A16" s="1" t="s">
        <v>23</v>
      </c>
      <c r="B16" s="1" t="s">
        <v>261</v>
      </c>
      <c r="C16" s="1" t="s">
        <v>330</v>
      </c>
      <c r="D16" s="1" t="s">
        <v>335</v>
      </c>
      <c r="E16" s="1" t="s">
        <v>261</v>
      </c>
      <c r="F16" s="1" t="s">
        <v>19</v>
      </c>
      <c r="G16" s="1" t="s">
        <v>242</v>
      </c>
      <c r="H16" s="1" t="s">
        <v>45</v>
      </c>
      <c r="I16" s="1" t="s">
        <v>21</v>
      </c>
      <c r="J16" s="3">
        <v>-6669</v>
      </c>
      <c r="K16" s="1" t="s">
        <v>245</v>
      </c>
      <c r="L16" s="1" t="s">
        <v>21</v>
      </c>
      <c r="M16" s="1" t="s">
        <v>21</v>
      </c>
      <c r="N16" s="1" t="s">
        <v>330</v>
      </c>
      <c r="O16" s="2">
        <v>42004</v>
      </c>
      <c r="P16" s="2">
        <v>42027</v>
      </c>
      <c r="Q16" s="1" t="s">
        <v>22</v>
      </c>
    </row>
    <row r="17" spans="1:17" x14ac:dyDescent="0.25">
      <c r="A17" s="1" t="s">
        <v>23</v>
      </c>
      <c r="B17" s="1" t="s">
        <v>261</v>
      </c>
      <c r="C17" s="1" t="s">
        <v>330</v>
      </c>
      <c r="D17" s="1" t="s">
        <v>324</v>
      </c>
      <c r="E17" s="1" t="s">
        <v>261</v>
      </c>
      <c r="F17" s="1" t="s">
        <v>19</v>
      </c>
      <c r="G17" s="1" t="s">
        <v>41</v>
      </c>
      <c r="H17" s="1" t="s">
        <v>32</v>
      </c>
      <c r="I17" s="1" t="s">
        <v>21</v>
      </c>
      <c r="J17" s="3">
        <v>-1446</v>
      </c>
      <c r="K17" s="1" t="s">
        <v>42</v>
      </c>
      <c r="L17" s="1" t="s">
        <v>21</v>
      </c>
      <c r="M17" s="1" t="s">
        <v>21</v>
      </c>
      <c r="N17" s="1" t="s">
        <v>330</v>
      </c>
      <c r="O17" s="2">
        <v>42004</v>
      </c>
      <c r="P17" s="2">
        <v>42027</v>
      </c>
      <c r="Q17" s="1" t="s">
        <v>22</v>
      </c>
    </row>
    <row r="18" spans="1:17" x14ac:dyDescent="0.25">
      <c r="A18" s="1" t="s">
        <v>23</v>
      </c>
      <c r="B18" s="1" t="s">
        <v>24</v>
      </c>
      <c r="C18" s="1" t="s">
        <v>76</v>
      </c>
      <c r="D18" s="1" t="s">
        <v>326</v>
      </c>
      <c r="E18" s="1" t="s">
        <v>261</v>
      </c>
      <c r="F18" s="1" t="s">
        <v>19</v>
      </c>
      <c r="G18" s="1" t="s">
        <v>49</v>
      </c>
      <c r="H18" s="1" t="s">
        <v>20</v>
      </c>
      <c r="I18" s="1" t="s">
        <v>21</v>
      </c>
      <c r="J18" s="3">
        <v>-9000</v>
      </c>
      <c r="K18" s="1" t="s">
        <v>319</v>
      </c>
      <c r="L18" s="1" t="s">
        <v>21</v>
      </c>
      <c r="M18" s="1" t="s">
        <v>21</v>
      </c>
      <c r="N18" s="1" t="s">
        <v>76</v>
      </c>
      <c r="O18" s="2">
        <v>42094</v>
      </c>
      <c r="P18" s="2">
        <v>42080</v>
      </c>
      <c r="Q18" s="1" t="s">
        <v>22</v>
      </c>
    </row>
    <row r="19" spans="1:17" x14ac:dyDescent="0.25">
      <c r="A19" s="1" t="s">
        <v>23</v>
      </c>
      <c r="B19" s="1" t="s">
        <v>24</v>
      </c>
      <c r="C19" s="1" t="s">
        <v>76</v>
      </c>
      <c r="D19" s="1" t="s">
        <v>332</v>
      </c>
      <c r="E19" s="1" t="s">
        <v>261</v>
      </c>
      <c r="F19" s="1" t="s">
        <v>19</v>
      </c>
      <c r="G19" s="1" t="s">
        <v>44</v>
      </c>
      <c r="H19" s="1" t="s">
        <v>45</v>
      </c>
      <c r="I19" s="1" t="s">
        <v>21</v>
      </c>
      <c r="J19" s="3">
        <v>1000</v>
      </c>
      <c r="K19" s="1" t="s">
        <v>94</v>
      </c>
      <c r="L19" s="1" t="s">
        <v>21</v>
      </c>
      <c r="M19" s="1" t="s">
        <v>21</v>
      </c>
      <c r="N19" s="1" t="s">
        <v>76</v>
      </c>
      <c r="O19" s="2">
        <v>42094</v>
      </c>
      <c r="P19" s="2">
        <v>42080</v>
      </c>
      <c r="Q19" s="1" t="s">
        <v>22</v>
      </c>
    </row>
    <row r="20" spans="1:17" x14ac:dyDescent="0.25">
      <c r="A20" s="1" t="s">
        <v>23</v>
      </c>
      <c r="B20" s="1" t="s">
        <v>24</v>
      </c>
      <c r="C20" s="1" t="s">
        <v>76</v>
      </c>
      <c r="D20" s="1" t="s">
        <v>324</v>
      </c>
      <c r="E20" s="1" t="s">
        <v>261</v>
      </c>
      <c r="F20" s="1" t="s">
        <v>19</v>
      </c>
      <c r="G20" s="1" t="s">
        <v>41</v>
      </c>
      <c r="H20" s="1" t="s">
        <v>32</v>
      </c>
      <c r="I20" s="1" t="s">
        <v>21</v>
      </c>
      <c r="J20" s="3">
        <v>2000</v>
      </c>
      <c r="K20" s="1" t="s">
        <v>112</v>
      </c>
      <c r="L20" s="1" t="s">
        <v>21</v>
      </c>
      <c r="M20" s="1" t="s">
        <v>21</v>
      </c>
      <c r="N20" s="1" t="s">
        <v>76</v>
      </c>
      <c r="O20" s="2">
        <v>42094</v>
      </c>
      <c r="P20" s="2">
        <v>42080</v>
      </c>
      <c r="Q20" s="1" t="s">
        <v>22</v>
      </c>
    </row>
    <row r="21" spans="1:17" x14ac:dyDescent="0.25">
      <c r="A21" s="1" t="s">
        <v>23</v>
      </c>
      <c r="B21" s="1" t="s">
        <v>24</v>
      </c>
      <c r="C21" s="1" t="s">
        <v>76</v>
      </c>
      <c r="D21" s="1" t="s">
        <v>331</v>
      </c>
      <c r="E21" s="1" t="s">
        <v>261</v>
      </c>
      <c r="F21" s="1" t="s">
        <v>19</v>
      </c>
      <c r="G21" s="1" t="s">
        <v>50</v>
      </c>
      <c r="H21" s="1" t="s">
        <v>45</v>
      </c>
      <c r="I21" s="1" t="s">
        <v>21</v>
      </c>
      <c r="J21" s="3">
        <v>7000</v>
      </c>
      <c r="K21" s="1" t="s">
        <v>121</v>
      </c>
      <c r="L21" s="1" t="s">
        <v>21</v>
      </c>
      <c r="M21" s="1" t="s">
        <v>21</v>
      </c>
      <c r="N21" s="1" t="s">
        <v>76</v>
      </c>
      <c r="O21" s="2">
        <v>42094</v>
      </c>
      <c r="P21" s="2">
        <v>42080</v>
      </c>
      <c r="Q21" s="1" t="s">
        <v>22</v>
      </c>
    </row>
    <row r="22" spans="1:17" x14ac:dyDescent="0.25">
      <c r="A22" s="1" t="s">
        <v>23</v>
      </c>
      <c r="B22" s="1" t="s">
        <v>24</v>
      </c>
      <c r="C22" s="1" t="s">
        <v>76</v>
      </c>
      <c r="D22" s="1" t="s">
        <v>335</v>
      </c>
      <c r="E22" s="1" t="s">
        <v>261</v>
      </c>
      <c r="F22" s="1" t="s">
        <v>19</v>
      </c>
      <c r="G22" s="1" t="s">
        <v>242</v>
      </c>
      <c r="H22" s="1" t="s">
        <v>45</v>
      </c>
      <c r="I22" s="1" t="s">
        <v>21</v>
      </c>
      <c r="J22" s="3">
        <v>-1000</v>
      </c>
      <c r="K22" s="1" t="s">
        <v>246</v>
      </c>
      <c r="L22" s="1" t="s">
        <v>21</v>
      </c>
      <c r="M22" s="1" t="s">
        <v>21</v>
      </c>
      <c r="N22" s="1" t="s">
        <v>76</v>
      </c>
      <c r="O22" s="2">
        <v>42094</v>
      </c>
      <c r="P22" s="2">
        <v>42080</v>
      </c>
      <c r="Q22" s="1" t="s">
        <v>22</v>
      </c>
    </row>
    <row r="23" spans="1:17" x14ac:dyDescent="0.25">
      <c r="A23" s="1" t="s">
        <v>23</v>
      </c>
      <c r="B23" s="1" t="s">
        <v>24</v>
      </c>
      <c r="C23" s="1" t="s">
        <v>74</v>
      </c>
      <c r="D23" s="1" t="s">
        <v>326</v>
      </c>
      <c r="E23" s="1" t="s">
        <v>261</v>
      </c>
      <c r="F23" s="1" t="s">
        <v>19</v>
      </c>
      <c r="G23" s="1" t="s">
        <v>49</v>
      </c>
      <c r="H23" s="1" t="s">
        <v>20</v>
      </c>
      <c r="I23" s="1" t="s">
        <v>21</v>
      </c>
      <c r="J23" s="3">
        <v>9000</v>
      </c>
      <c r="K23" s="1" t="s">
        <v>75</v>
      </c>
      <c r="L23" s="1" t="s">
        <v>21</v>
      </c>
      <c r="M23" s="1" t="s">
        <v>21</v>
      </c>
      <c r="N23" s="1" t="s">
        <v>76</v>
      </c>
      <c r="O23" s="2">
        <v>42185</v>
      </c>
      <c r="P23" s="2">
        <v>42192</v>
      </c>
      <c r="Q23" s="1" t="s">
        <v>22</v>
      </c>
    </row>
    <row r="24" spans="1:17" x14ac:dyDescent="0.25">
      <c r="A24" s="1" t="s">
        <v>23</v>
      </c>
      <c r="B24" s="1" t="s">
        <v>24</v>
      </c>
      <c r="C24" s="1" t="s">
        <v>66</v>
      </c>
      <c r="D24" s="1" t="s">
        <v>326</v>
      </c>
      <c r="E24" s="1" t="s">
        <v>261</v>
      </c>
      <c r="F24" s="1" t="s">
        <v>19</v>
      </c>
      <c r="G24" s="1" t="s">
        <v>49</v>
      </c>
      <c r="H24" s="1" t="s">
        <v>20</v>
      </c>
      <c r="I24" s="1" t="s">
        <v>21</v>
      </c>
      <c r="J24" s="3">
        <v>-18000</v>
      </c>
      <c r="K24" s="1" t="s">
        <v>320</v>
      </c>
      <c r="L24" s="1" t="s">
        <v>21</v>
      </c>
      <c r="M24" s="1" t="s">
        <v>21</v>
      </c>
      <c r="N24" s="1" t="s">
        <v>66</v>
      </c>
      <c r="O24" s="2">
        <v>42185</v>
      </c>
      <c r="P24" s="2">
        <v>42192</v>
      </c>
      <c r="Q24" s="1" t="s">
        <v>22</v>
      </c>
    </row>
    <row r="25" spans="1:17" x14ac:dyDescent="0.25">
      <c r="A25" s="1" t="s">
        <v>23</v>
      </c>
      <c r="B25" s="1" t="s">
        <v>24</v>
      </c>
      <c r="C25" s="1" t="s">
        <v>74</v>
      </c>
      <c r="D25" s="1" t="s">
        <v>324</v>
      </c>
      <c r="E25" s="1" t="s">
        <v>261</v>
      </c>
      <c r="F25" s="1" t="s">
        <v>19</v>
      </c>
      <c r="G25" s="1" t="s">
        <v>41</v>
      </c>
      <c r="H25" s="1" t="s">
        <v>32</v>
      </c>
      <c r="I25" s="1" t="s">
        <v>21</v>
      </c>
      <c r="J25" s="3">
        <v>-2000</v>
      </c>
      <c r="K25" s="1" t="s">
        <v>75</v>
      </c>
      <c r="L25" s="1" t="s">
        <v>21</v>
      </c>
      <c r="M25" s="1" t="s">
        <v>21</v>
      </c>
      <c r="N25" s="1" t="s">
        <v>76</v>
      </c>
      <c r="O25" s="2">
        <v>42185</v>
      </c>
      <c r="P25" s="2">
        <v>42192</v>
      </c>
      <c r="Q25" s="1" t="s">
        <v>22</v>
      </c>
    </row>
    <row r="26" spans="1:17" x14ac:dyDescent="0.25">
      <c r="A26" s="1" t="s">
        <v>23</v>
      </c>
      <c r="B26" s="1" t="s">
        <v>24</v>
      </c>
      <c r="C26" s="1" t="s">
        <v>74</v>
      </c>
      <c r="D26" s="1" t="s">
        <v>335</v>
      </c>
      <c r="E26" s="1" t="s">
        <v>261</v>
      </c>
      <c r="F26" s="1" t="s">
        <v>19</v>
      </c>
      <c r="G26" s="1" t="s">
        <v>242</v>
      </c>
      <c r="H26" s="1" t="s">
        <v>45</v>
      </c>
      <c r="I26" s="1" t="s">
        <v>21</v>
      </c>
      <c r="J26" s="3">
        <v>1000</v>
      </c>
      <c r="K26" s="1" t="s">
        <v>75</v>
      </c>
      <c r="L26" s="1" t="s">
        <v>21</v>
      </c>
      <c r="M26" s="1" t="s">
        <v>21</v>
      </c>
      <c r="N26" s="1" t="s">
        <v>76</v>
      </c>
      <c r="O26" s="2">
        <v>42185</v>
      </c>
      <c r="P26" s="2">
        <v>42192</v>
      </c>
      <c r="Q26" s="1" t="s">
        <v>22</v>
      </c>
    </row>
    <row r="27" spans="1:17" x14ac:dyDescent="0.25">
      <c r="A27" s="1" t="s">
        <v>23</v>
      </c>
      <c r="B27" s="1" t="s">
        <v>24</v>
      </c>
      <c r="C27" s="1" t="s">
        <v>74</v>
      </c>
      <c r="D27" s="1" t="s">
        <v>332</v>
      </c>
      <c r="E27" s="1" t="s">
        <v>261</v>
      </c>
      <c r="F27" s="1" t="s">
        <v>19</v>
      </c>
      <c r="G27" s="1" t="s">
        <v>44</v>
      </c>
      <c r="H27" s="1" t="s">
        <v>45</v>
      </c>
      <c r="I27" s="1" t="s">
        <v>21</v>
      </c>
      <c r="J27" s="3">
        <v>-1000</v>
      </c>
      <c r="K27" s="1" t="s">
        <v>75</v>
      </c>
      <c r="L27" s="1" t="s">
        <v>21</v>
      </c>
      <c r="M27" s="1" t="s">
        <v>21</v>
      </c>
      <c r="N27" s="1" t="s">
        <v>76</v>
      </c>
      <c r="O27" s="2">
        <v>42185</v>
      </c>
      <c r="P27" s="2">
        <v>42192</v>
      </c>
      <c r="Q27" s="1" t="s">
        <v>22</v>
      </c>
    </row>
    <row r="28" spans="1:17" x14ac:dyDescent="0.25">
      <c r="A28" s="1" t="s">
        <v>23</v>
      </c>
      <c r="B28" s="1" t="s">
        <v>24</v>
      </c>
      <c r="C28" s="1" t="s">
        <v>66</v>
      </c>
      <c r="D28" s="1" t="s">
        <v>324</v>
      </c>
      <c r="E28" s="1" t="s">
        <v>261</v>
      </c>
      <c r="F28" s="1" t="s">
        <v>19</v>
      </c>
      <c r="G28" s="1" t="s">
        <v>41</v>
      </c>
      <c r="H28" s="1" t="s">
        <v>32</v>
      </c>
      <c r="I28" s="1" t="s">
        <v>21</v>
      </c>
      <c r="J28" s="3">
        <v>2000</v>
      </c>
      <c r="K28" s="1" t="s">
        <v>113</v>
      </c>
      <c r="L28" s="1" t="s">
        <v>21</v>
      </c>
      <c r="M28" s="1" t="s">
        <v>21</v>
      </c>
      <c r="N28" s="1" t="s">
        <v>66</v>
      </c>
      <c r="O28" s="2">
        <v>42185</v>
      </c>
      <c r="P28" s="2">
        <v>42192</v>
      </c>
      <c r="Q28" s="1" t="s">
        <v>22</v>
      </c>
    </row>
    <row r="29" spans="1:17" x14ac:dyDescent="0.25">
      <c r="A29" s="1" t="s">
        <v>23</v>
      </c>
      <c r="B29" s="1" t="s">
        <v>24</v>
      </c>
      <c r="C29" s="1" t="s">
        <v>74</v>
      </c>
      <c r="D29" s="1" t="s">
        <v>331</v>
      </c>
      <c r="E29" s="1" t="s">
        <v>261</v>
      </c>
      <c r="F29" s="1" t="s">
        <v>19</v>
      </c>
      <c r="G29" s="1" t="s">
        <v>50</v>
      </c>
      <c r="H29" s="1" t="s">
        <v>45</v>
      </c>
      <c r="I29" s="1" t="s">
        <v>21</v>
      </c>
      <c r="J29" s="3">
        <v>-7000</v>
      </c>
      <c r="K29" s="1" t="s">
        <v>75</v>
      </c>
      <c r="L29" s="1" t="s">
        <v>21</v>
      </c>
      <c r="M29" s="1" t="s">
        <v>21</v>
      </c>
      <c r="N29" s="1" t="s">
        <v>76</v>
      </c>
      <c r="O29" s="2">
        <v>42185</v>
      </c>
      <c r="P29" s="2">
        <v>42192</v>
      </c>
      <c r="Q29" s="1" t="s">
        <v>22</v>
      </c>
    </row>
    <row r="30" spans="1:17" x14ac:dyDescent="0.25">
      <c r="A30" s="1" t="s">
        <v>23</v>
      </c>
      <c r="B30" s="1" t="s">
        <v>24</v>
      </c>
      <c r="C30" s="1" t="s">
        <v>66</v>
      </c>
      <c r="D30" s="1" t="s">
        <v>331</v>
      </c>
      <c r="E30" s="1" t="s">
        <v>261</v>
      </c>
      <c r="F30" s="1" t="s">
        <v>19</v>
      </c>
      <c r="G30" s="1" t="s">
        <v>50</v>
      </c>
      <c r="H30" s="1" t="s">
        <v>45</v>
      </c>
      <c r="I30" s="1" t="s">
        <v>21</v>
      </c>
      <c r="J30" s="3">
        <v>14000</v>
      </c>
      <c r="K30" s="1" t="s">
        <v>336</v>
      </c>
      <c r="L30" s="1" t="s">
        <v>21</v>
      </c>
      <c r="M30" s="1" t="s">
        <v>21</v>
      </c>
      <c r="N30" s="1" t="s">
        <v>66</v>
      </c>
      <c r="O30" s="2">
        <v>42185</v>
      </c>
      <c r="P30" s="2">
        <v>42192</v>
      </c>
      <c r="Q30" s="1" t="s">
        <v>22</v>
      </c>
    </row>
    <row r="31" spans="1:17" x14ac:dyDescent="0.25">
      <c r="A31" s="1" t="s">
        <v>23</v>
      </c>
      <c r="B31" s="1" t="s">
        <v>24</v>
      </c>
      <c r="C31" s="1" t="s">
        <v>66</v>
      </c>
      <c r="D31" s="1" t="s">
        <v>335</v>
      </c>
      <c r="E31" s="1" t="s">
        <v>261</v>
      </c>
      <c r="F31" s="1" t="s">
        <v>19</v>
      </c>
      <c r="G31" s="1" t="s">
        <v>242</v>
      </c>
      <c r="H31" s="1" t="s">
        <v>45</v>
      </c>
      <c r="I31" s="1" t="s">
        <v>21</v>
      </c>
      <c r="J31" s="3">
        <v>3000</v>
      </c>
      <c r="K31" s="1" t="s">
        <v>321</v>
      </c>
      <c r="L31" s="1" t="s">
        <v>21</v>
      </c>
      <c r="M31" s="1" t="s">
        <v>21</v>
      </c>
      <c r="N31" s="1" t="s">
        <v>66</v>
      </c>
      <c r="O31" s="2">
        <v>42185</v>
      </c>
      <c r="P31" s="2">
        <v>42192</v>
      </c>
      <c r="Q31" s="1" t="s">
        <v>22</v>
      </c>
    </row>
    <row r="32" spans="1:17" x14ac:dyDescent="0.25">
      <c r="A32" s="1" t="s">
        <v>23</v>
      </c>
      <c r="B32" s="1" t="s">
        <v>24</v>
      </c>
      <c r="C32" s="1" t="s">
        <v>66</v>
      </c>
      <c r="D32" s="1" t="s">
        <v>332</v>
      </c>
      <c r="E32" s="1" t="s">
        <v>261</v>
      </c>
      <c r="F32" s="1" t="s">
        <v>19</v>
      </c>
      <c r="G32" s="1" t="s">
        <v>44</v>
      </c>
      <c r="H32" s="1" t="s">
        <v>45</v>
      </c>
      <c r="I32" s="1" t="s">
        <v>21</v>
      </c>
      <c r="J32" s="3">
        <v>2000</v>
      </c>
      <c r="K32" s="1" t="s">
        <v>95</v>
      </c>
      <c r="L32" s="1" t="s">
        <v>21</v>
      </c>
      <c r="M32" s="1" t="s">
        <v>21</v>
      </c>
      <c r="N32" s="1" t="s">
        <v>66</v>
      </c>
      <c r="O32" s="2">
        <v>42185</v>
      </c>
      <c r="P32" s="2">
        <v>42192</v>
      </c>
      <c r="Q32" s="1" t="s">
        <v>22</v>
      </c>
    </row>
    <row r="33" spans="1:17" x14ac:dyDescent="0.25">
      <c r="A33" s="1" t="s">
        <v>23</v>
      </c>
      <c r="B33" s="1" t="s">
        <v>24</v>
      </c>
      <c r="C33" s="1" t="s">
        <v>79</v>
      </c>
      <c r="D33" s="1" t="s">
        <v>326</v>
      </c>
      <c r="E33" s="1" t="s">
        <v>261</v>
      </c>
      <c r="F33" s="1" t="s">
        <v>19</v>
      </c>
      <c r="G33" s="1" t="s">
        <v>49</v>
      </c>
      <c r="H33" s="1" t="s">
        <v>20</v>
      </c>
      <c r="I33" s="1" t="s">
        <v>21</v>
      </c>
      <c r="J33" s="3">
        <v>-27000</v>
      </c>
      <c r="K33" s="1" t="s">
        <v>322</v>
      </c>
      <c r="L33" s="1" t="s">
        <v>21</v>
      </c>
      <c r="M33" s="1" t="s">
        <v>21</v>
      </c>
      <c r="N33" s="1" t="s">
        <v>79</v>
      </c>
      <c r="O33" s="2">
        <v>42277</v>
      </c>
      <c r="P33" s="2">
        <v>42285</v>
      </c>
      <c r="Q33" s="1" t="s">
        <v>22</v>
      </c>
    </row>
    <row r="34" spans="1:17" x14ac:dyDescent="0.25">
      <c r="A34" s="1" t="s">
        <v>23</v>
      </c>
      <c r="B34" s="1" t="s">
        <v>24</v>
      </c>
      <c r="C34" s="1" t="s">
        <v>64</v>
      </c>
      <c r="D34" s="1" t="s">
        <v>326</v>
      </c>
      <c r="E34" s="1" t="s">
        <v>261</v>
      </c>
      <c r="F34" s="1" t="s">
        <v>19</v>
      </c>
      <c r="G34" s="1" t="s">
        <v>49</v>
      </c>
      <c r="H34" s="1" t="s">
        <v>20</v>
      </c>
      <c r="I34" s="1" t="s">
        <v>21</v>
      </c>
      <c r="J34" s="3">
        <v>18000</v>
      </c>
      <c r="K34" s="1" t="s">
        <v>65</v>
      </c>
      <c r="L34" s="1" t="s">
        <v>21</v>
      </c>
      <c r="M34" s="1" t="s">
        <v>21</v>
      </c>
      <c r="N34" s="1" t="s">
        <v>66</v>
      </c>
      <c r="O34" s="2">
        <v>42277</v>
      </c>
      <c r="P34" s="2">
        <v>42285</v>
      </c>
      <c r="Q34" s="1" t="s">
        <v>22</v>
      </c>
    </row>
    <row r="35" spans="1:17" x14ac:dyDescent="0.25">
      <c r="A35" s="1" t="s">
        <v>23</v>
      </c>
      <c r="B35" s="1" t="s">
        <v>24</v>
      </c>
      <c r="C35" s="1" t="s">
        <v>64</v>
      </c>
      <c r="D35" s="1" t="s">
        <v>331</v>
      </c>
      <c r="E35" s="1" t="s">
        <v>261</v>
      </c>
      <c r="F35" s="1" t="s">
        <v>19</v>
      </c>
      <c r="G35" s="1" t="s">
        <v>50</v>
      </c>
      <c r="H35" s="1" t="s">
        <v>45</v>
      </c>
      <c r="I35" s="1" t="s">
        <v>21</v>
      </c>
      <c r="J35" s="3">
        <v>-14000</v>
      </c>
      <c r="K35" s="1" t="s">
        <v>65</v>
      </c>
      <c r="L35" s="1" t="s">
        <v>21</v>
      </c>
      <c r="M35" s="1" t="s">
        <v>21</v>
      </c>
      <c r="N35" s="1" t="s">
        <v>66</v>
      </c>
      <c r="O35" s="2">
        <v>42277</v>
      </c>
      <c r="P35" s="2">
        <v>42285</v>
      </c>
      <c r="Q35" s="1" t="s">
        <v>22</v>
      </c>
    </row>
    <row r="36" spans="1:17" x14ac:dyDescent="0.25">
      <c r="A36" s="1" t="s">
        <v>23</v>
      </c>
      <c r="B36" s="1" t="s">
        <v>24</v>
      </c>
      <c r="C36" s="1" t="s">
        <v>79</v>
      </c>
      <c r="D36" s="1" t="s">
        <v>335</v>
      </c>
      <c r="E36" s="1" t="s">
        <v>261</v>
      </c>
      <c r="F36" s="1" t="s">
        <v>19</v>
      </c>
      <c r="G36" s="1" t="s">
        <v>242</v>
      </c>
      <c r="H36" s="1" t="s">
        <v>45</v>
      </c>
      <c r="I36" s="1" t="s">
        <v>21</v>
      </c>
      <c r="J36" s="3">
        <v>5000</v>
      </c>
      <c r="K36" s="1" t="s">
        <v>247</v>
      </c>
      <c r="L36" s="1" t="s">
        <v>21</v>
      </c>
      <c r="M36" s="1" t="s">
        <v>21</v>
      </c>
      <c r="N36" s="1" t="s">
        <v>79</v>
      </c>
      <c r="O36" s="2">
        <v>42277</v>
      </c>
      <c r="P36" s="2">
        <v>42285</v>
      </c>
      <c r="Q36" s="1" t="s">
        <v>22</v>
      </c>
    </row>
    <row r="37" spans="1:17" x14ac:dyDescent="0.25">
      <c r="A37" s="1" t="s">
        <v>23</v>
      </c>
      <c r="B37" s="1" t="s">
        <v>24</v>
      </c>
      <c r="C37" s="1" t="s">
        <v>79</v>
      </c>
      <c r="D37" s="1" t="s">
        <v>331</v>
      </c>
      <c r="E37" s="1" t="s">
        <v>261</v>
      </c>
      <c r="F37" s="1" t="s">
        <v>19</v>
      </c>
      <c r="G37" s="1" t="s">
        <v>50</v>
      </c>
      <c r="H37" s="1" t="s">
        <v>45</v>
      </c>
      <c r="I37" s="1" t="s">
        <v>21</v>
      </c>
      <c r="J37" s="3">
        <v>21000</v>
      </c>
      <c r="K37" s="1" t="s">
        <v>116</v>
      </c>
      <c r="L37" s="1" t="s">
        <v>21</v>
      </c>
      <c r="M37" s="1" t="s">
        <v>21</v>
      </c>
      <c r="N37" s="1" t="s">
        <v>79</v>
      </c>
      <c r="O37" s="2">
        <v>42277</v>
      </c>
      <c r="P37" s="2">
        <v>42285</v>
      </c>
      <c r="Q37" s="1" t="s">
        <v>22</v>
      </c>
    </row>
    <row r="38" spans="1:17" x14ac:dyDescent="0.25">
      <c r="A38" s="1" t="s">
        <v>23</v>
      </c>
      <c r="B38" s="1" t="s">
        <v>24</v>
      </c>
      <c r="C38" s="1" t="s">
        <v>79</v>
      </c>
      <c r="D38" s="1" t="s">
        <v>332</v>
      </c>
      <c r="E38" s="1" t="s">
        <v>261</v>
      </c>
      <c r="F38" s="1" t="s">
        <v>19</v>
      </c>
      <c r="G38" s="1" t="s">
        <v>44</v>
      </c>
      <c r="H38" s="1" t="s">
        <v>45</v>
      </c>
      <c r="I38" s="1" t="s">
        <v>21</v>
      </c>
      <c r="J38" s="3">
        <v>3000</v>
      </c>
      <c r="K38" s="1" t="s">
        <v>120</v>
      </c>
      <c r="L38" s="1" t="s">
        <v>21</v>
      </c>
      <c r="M38" s="1" t="s">
        <v>21</v>
      </c>
      <c r="N38" s="1" t="s">
        <v>79</v>
      </c>
      <c r="O38" s="2">
        <v>42277</v>
      </c>
      <c r="P38" s="2">
        <v>42285</v>
      </c>
      <c r="Q38" s="1" t="s">
        <v>22</v>
      </c>
    </row>
    <row r="39" spans="1:17" x14ac:dyDescent="0.25">
      <c r="A39" s="1" t="s">
        <v>23</v>
      </c>
      <c r="B39" s="1" t="s">
        <v>24</v>
      </c>
      <c r="C39" s="1" t="s">
        <v>64</v>
      </c>
      <c r="D39" s="1" t="s">
        <v>324</v>
      </c>
      <c r="E39" s="1" t="s">
        <v>261</v>
      </c>
      <c r="F39" s="1" t="s">
        <v>19</v>
      </c>
      <c r="G39" s="1" t="s">
        <v>41</v>
      </c>
      <c r="H39" s="1" t="s">
        <v>32</v>
      </c>
      <c r="I39" s="1" t="s">
        <v>21</v>
      </c>
      <c r="J39" s="3">
        <v>-2000</v>
      </c>
      <c r="K39" s="1" t="s">
        <v>65</v>
      </c>
      <c r="L39" s="1" t="s">
        <v>21</v>
      </c>
      <c r="M39" s="1" t="s">
        <v>21</v>
      </c>
      <c r="N39" s="1" t="s">
        <v>66</v>
      </c>
      <c r="O39" s="2">
        <v>42277</v>
      </c>
      <c r="P39" s="2">
        <v>42285</v>
      </c>
      <c r="Q39" s="1" t="s">
        <v>22</v>
      </c>
    </row>
    <row r="40" spans="1:17" x14ac:dyDescent="0.25">
      <c r="A40" s="1" t="s">
        <v>23</v>
      </c>
      <c r="B40" s="1" t="s">
        <v>24</v>
      </c>
      <c r="C40" s="1" t="s">
        <v>64</v>
      </c>
      <c r="D40" s="1" t="s">
        <v>335</v>
      </c>
      <c r="E40" s="1" t="s">
        <v>261</v>
      </c>
      <c r="F40" s="1" t="s">
        <v>19</v>
      </c>
      <c r="G40" s="1" t="s">
        <v>242</v>
      </c>
      <c r="H40" s="1" t="s">
        <v>45</v>
      </c>
      <c r="I40" s="1" t="s">
        <v>21</v>
      </c>
      <c r="J40" s="3">
        <v>-3000</v>
      </c>
      <c r="K40" s="1" t="s">
        <v>65</v>
      </c>
      <c r="L40" s="1" t="s">
        <v>21</v>
      </c>
      <c r="M40" s="1" t="s">
        <v>21</v>
      </c>
      <c r="N40" s="1" t="s">
        <v>66</v>
      </c>
      <c r="O40" s="2">
        <v>42277</v>
      </c>
      <c r="P40" s="2">
        <v>42285</v>
      </c>
      <c r="Q40" s="1" t="s">
        <v>22</v>
      </c>
    </row>
    <row r="41" spans="1:17" x14ac:dyDescent="0.25">
      <c r="A41" s="1" t="s">
        <v>23</v>
      </c>
      <c r="B41" s="1" t="s">
        <v>24</v>
      </c>
      <c r="C41" s="1" t="s">
        <v>64</v>
      </c>
      <c r="D41" s="1" t="s">
        <v>332</v>
      </c>
      <c r="E41" s="1" t="s">
        <v>261</v>
      </c>
      <c r="F41" s="1" t="s">
        <v>19</v>
      </c>
      <c r="G41" s="1" t="s">
        <v>44</v>
      </c>
      <c r="H41" s="1" t="s">
        <v>45</v>
      </c>
      <c r="I41" s="1" t="s">
        <v>21</v>
      </c>
      <c r="J41" s="3">
        <v>-2000</v>
      </c>
      <c r="K41" s="1" t="s">
        <v>65</v>
      </c>
      <c r="L41" s="1" t="s">
        <v>21</v>
      </c>
      <c r="M41" s="1" t="s">
        <v>21</v>
      </c>
      <c r="N41" s="1" t="s">
        <v>66</v>
      </c>
      <c r="O41" s="2">
        <v>42277</v>
      </c>
      <c r="P41" s="2">
        <v>42285</v>
      </c>
      <c r="Q41" s="1" t="s">
        <v>22</v>
      </c>
    </row>
    <row r="42" spans="1:17" x14ac:dyDescent="0.25">
      <c r="A42" s="1" t="s">
        <v>23</v>
      </c>
      <c r="B42" s="1" t="s">
        <v>24</v>
      </c>
      <c r="C42" s="1" t="s">
        <v>79</v>
      </c>
      <c r="D42" s="1" t="s">
        <v>324</v>
      </c>
      <c r="E42" s="1" t="s">
        <v>261</v>
      </c>
      <c r="F42" s="1" t="s">
        <v>19</v>
      </c>
      <c r="G42" s="1" t="s">
        <v>41</v>
      </c>
      <c r="H42" s="1" t="s">
        <v>32</v>
      </c>
      <c r="I42" s="1" t="s">
        <v>21</v>
      </c>
      <c r="J42" s="3">
        <v>2000</v>
      </c>
      <c r="K42" s="1" t="s">
        <v>105</v>
      </c>
      <c r="L42" s="1" t="s">
        <v>21</v>
      </c>
      <c r="M42" s="1" t="s">
        <v>21</v>
      </c>
      <c r="N42" s="1" t="s">
        <v>79</v>
      </c>
      <c r="O42" s="2">
        <v>42277</v>
      </c>
      <c r="P42" s="2">
        <v>42285</v>
      </c>
      <c r="Q42" s="1" t="s">
        <v>22</v>
      </c>
    </row>
    <row r="43" spans="1:17" x14ac:dyDescent="0.25">
      <c r="A43" s="1" t="s">
        <v>23</v>
      </c>
      <c r="B43" s="1" t="s">
        <v>24</v>
      </c>
      <c r="C43" s="1" t="s">
        <v>77</v>
      </c>
      <c r="D43" s="1" t="s">
        <v>326</v>
      </c>
      <c r="E43" s="1" t="s">
        <v>261</v>
      </c>
      <c r="F43" s="1" t="s">
        <v>19</v>
      </c>
      <c r="G43" s="1" t="s">
        <v>49</v>
      </c>
      <c r="H43" s="1" t="s">
        <v>20</v>
      </c>
      <c r="I43" s="1" t="s">
        <v>21</v>
      </c>
      <c r="J43" s="3">
        <v>27000</v>
      </c>
      <c r="K43" s="1" t="s">
        <v>78</v>
      </c>
      <c r="L43" s="1" t="s">
        <v>21</v>
      </c>
      <c r="M43" s="1" t="s">
        <v>21</v>
      </c>
      <c r="N43" s="1" t="s">
        <v>79</v>
      </c>
      <c r="O43" s="2">
        <v>42369</v>
      </c>
      <c r="P43" s="2">
        <v>42383</v>
      </c>
      <c r="Q43" s="1" t="s">
        <v>22</v>
      </c>
    </row>
    <row r="44" spans="1:17" x14ac:dyDescent="0.25">
      <c r="A44" s="1" t="s">
        <v>23</v>
      </c>
      <c r="B44" s="1" t="s">
        <v>261</v>
      </c>
      <c r="C44" s="1" t="s">
        <v>337</v>
      </c>
      <c r="D44" s="1" t="s">
        <v>326</v>
      </c>
      <c r="E44" s="1" t="s">
        <v>261</v>
      </c>
      <c r="F44" s="1" t="s">
        <v>19</v>
      </c>
      <c r="G44" s="1" t="s">
        <v>49</v>
      </c>
      <c r="H44" s="1" t="s">
        <v>20</v>
      </c>
      <c r="I44" s="1" t="s">
        <v>21</v>
      </c>
      <c r="J44" s="3">
        <v>-36432</v>
      </c>
      <c r="K44" s="1" t="s">
        <v>115</v>
      </c>
      <c r="L44" s="1" t="s">
        <v>21</v>
      </c>
      <c r="M44" s="1" t="s">
        <v>21</v>
      </c>
      <c r="N44" s="1" t="s">
        <v>337</v>
      </c>
      <c r="O44" s="2">
        <v>42369</v>
      </c>
      <c r="P44" s="2">
        <v>42397</v>
      </c>
      <c r="Q44" s="1" t="s">
        <v>22</v>
      </c>
    </row>
    <row r="45" spans="1:17" x14ac:dyDescent="0.25">
      <c r="A45" s="1" t="s">
        <v>23</v>
      </c>
      <c r="B45" s="1" t="s">
        <v>261</v>
      </c>
      <c r="C45" s="1" t="s">
        <v>338</v>
      </c>
      <c r="D45" s="1" t="s">
        <v>326</v>
      </c>
      <c r="E45" s="1" t="s">
        <v>261</v>
      </c>
      <c r="F45" s="1" t="s">
        <v>19</v>
      </c>
      <c r="G45" s="1" t="s">
        <v>49</v>
      </c>
      <c r="H45" s="1" t="s">
        <v>20</v>
      </c>
      <c r="I45" s="1" t="s">
        <v>21</v>
      </c>
      <c r="J45" s="3">
        <v>18071</v>
      </c>
      <c r="K45" s="1" t="s">
        <v>115</v>
      </c>
      <c r="L45" s="1" t="s">
        <v>21</v>
      </c>
      <c r="M45" s="1" t="s">
        <v>21</v>
      </c>
      <c r="N45" s="1" t="s">
        <v>338</v>
      </c>
      <c r="O45" s="2">
        <v>42369</v>
      </c>
      <c r="P45" s="2">
        <v>42405</v>
      </c>
      <c r="Q45" s="1" t="s">
        <v>22</v>
      </c>
    </row>
    <row r="46" spans="1:17" x14ac:dyDescent="0.25">
      <c r="A46" s="1" t="s">
        <v>23</v>
      </c>
      <c r="B46" s="1" t="s">
        <v>261</v>
      </c>
      <c r="C46" s="1" t="s">
        <v>337</v>
      </c>
      <c r="D46" s="1" t="s">
        <v>331</v>
      </c>
      <c r="E46" s="1" t="s">
        <v>261</v>
      </c>
      <c r="F46" s="1" t="s">
        <v>19</v>
      </c>
      <c r="G46" s="1" t="s">
        <v>50</v>
      </c>
      <c r="H46" s="1" t="s">
        <v>45</v>
      </c>
      <c r="I46" s="1" t="s">
        <v>21</v>
      </c>
      <c r="J46" s="3">
        <v>-20892</v>
      </c>
      <c r="K46" s="1" t="s">
        <v>93</v>
      </c>
      <c r="L46" s="1" t="s">
        <v>21</v>
      </c>
      <c r="M46" s="1" t="s">
        <v>21</v>
      </c>
      <c r="N46" s="1" t="s">
        <v>337</v>
      </c>
      <c r="O46" s="2">
        <v>42369</v>
      </c>
      <c r="P46" s="2">
        <v>42397</v>
      </c>
      <c r="Q46" s="1" t="s">
        <v>22</v>
      </c>
    </row>
    <row r="47" spans="1:17" x14ac:dyDescent="0.25">
      <c r="A47" s="1" t="s">
        <v>17</v>
      </c>
      <c r="B47" s="1" t="s">
        <v>24</v>
      </c>
      <c r="C47" s="1" t="s">
        <v>248</v>
      </c>
      <c r="D47" s="1" t="s">
        <v>324</v>
      </c>
      <c r="E47" s="1" t="s">
        <v>261</v>
      </c>
      <c r="F47" s="1" t="s">
        <v>19</v>
      </c>
      <c r="G47" s="1" t="s">
        <v>41</v>
      </c>
      <c r="H47" s="1" t="s">
        <v>32</v>
      </c>
      <c r="I47" s="1" t="s">
        <v>21</v>
      </c>
      <c r="J47" s="3">
        <v>0</v>
      </c>
      <c r="K47" s="1" t="s">
        <v>339</v>
      </c>
      <c r="L47" s="1" t="s">
        <v>21</v>
      </c>
      <c r="M47" s="1" t="s">
        <v>21</v>
      </c>
      <c r="N47" s="1" t="s">
        <v>248</v>
      </c>
      <c r="O47" s="2">
        <v>42369</v>
      </c>
      <c r="P47" s="2">
        <v>42383</v>
      </c>
      <c r="Q47" s="1" t="s">
        <v>22</v>
      </c>
    </row>
    <row r="48" spans="1:17" x14ac:dyDescent="0.25">
      <c r="A48" s="1" t="s">
        <v>23</v>
      </c>
      <c r="B48" s="1" t="s">
        <v>261</v>
      </c>
      <c r="C48" s="1" t="s">
        <v>337</v>
      </c>
      <c r="D48" s="1" t="s">
        <v>333</v>
      </c>
      <c r="E48" s="1" t="s">
        <v>261</v>
      </c>
      <c r="F48" s="1" t="s">
        <v>19</v>
      </c>
      <c r="G48" s="1" t="s">
        <v>51</v>
      </c>
      <c r="H48" s="1" t="s">
        <v>45</v>
      </c>
      <c r="I48" s="1" t="s">
        <v>21</v>
      </c>
      <c r="J48" s="3">
        <v>-975</v>
      </c>
      <c r="K48" s="1" t="s">
        <v>52</v>
      </c>
      <c r="L48" s="1" t="s">
        <v>21</v>
      </c>
      <c r="M48" s="1" t="s">
        <v>21</v>
      </c>
      <c r="N48" s="1" t="s">
        <v>337</v>
      </c>
      <c r="O48" s="2">
        <v>42369</v>
      </c>
      <c r="P48" s="2">
        <v>42397</v>
      </c>
      <c r="Q48" s="1" t="s">
        <v>22</v>
      </c>
    </row>
    <row r="49" spans="1:17" x14ac:dyDescent="0.25">
      <c r="A49" s="1" t="s">
        <v>23</v>
      </c>
      <c r="B49" s="1" t="s">
        <v>24</v>
      </c>
      <c r="C49" s="1" t="s">
        <v>77</v>
      </c>
      <c r="D49" s="1" t="s">
        <v>324</v>
      </c>
      <c r="E49" s="1" t="s">
        <v>261</v>
      </c>
      <c r="F49" s="1" t="s">
        <v>19</v>
      </c>
      <c r="G49" s="1" t="s">
        <v>41</v>
      </c>
      <c r="H49" s="1" t="s">
        <v>32</v>
      </c>
      <c r="I49" s="1" t="s">
        <v>21</v>
      </c>
      <c r="J49" s="3">
        <v>-2000</v>
      </c>
      <c r="K49" s="1" t="s">
        <v>78</v>
      </c>
      <c r="L49" s="1" t="s">
        <v>21</v>
      </c>
      <c r="M49" s="1" t="s">
        <v>21</v>
      </c>
      <c r="N49" s="1" t="s">
        <v>79</v>
      </c>
      <c r="O49" s="2">
        <v>42369</v>
      </c>
      <c r="P49" s="2">
        <v>42383</v>
      </c>
      <c r="Q49" s="1" t="s">
        <v>22</v>
      </c>
    </row>
    <row r="50" spans="1:17" x14ac:dyDescent="0.25">
      <c r="A50" s="1" t="s">
        <v>23</v>
      </c>
      <c r="B50" s="1" t="s">
        <v>24</v>
      </c>
      <c r="C50" s="1" t="s">
        <v>77</v>
      </c>
      <c r="D50" s="1" t="s">
        <v>335</v>
      </c>
      <c r="E50" s="1" t="s">
        <v>261</v>
      </c>
      <c r="F50" s="1" t="s">
        <v>19</v>
      </c>
      <c r="G50" s="1" t="s">
        <v>242</v>
      </c>
      <c r="H50" s="1" t="s">
        <v>45</v>
      </c>
      <c r="I50" s="1" t="s">
        <v>21</v>
      </c>
      <c r="J50" s="3">
        <v>-5000</v>
      </c>
      <c r="K50" s="1" t="s">
        <v>78</v>
      </c>
      <c r="L50" s="1" t="s">
        <v>21</v>
      </c>
      <c r="M50" s="1" t="s">
        <v>21</v>
      </c>
      <c r="N50" s="1" t="s">
        <v>79</v>
      </c>
      <c r="O50" s="2">
        <v>42369</v>
      </c>
      <c r="P50" s="2">
        <v>42383</v>
      </c>
      <c r="Q50" s="1" t="s">
        <v>22</v>
      </c>
    </row>
    <row r="51" spans="1:17" x14ac:dyDescent="0.25">
      <c r="A51" s="1" t="s">
        <v>23</v>
      </c>
      <c r="B51" s="1" t="s">
        <v>24</v>
      </c>
      <c r="C51" s="1" t="s">
        <v>77</v>
      </c>
      <c r="D51" s="1" t="s">
        <v>332</v>
      </c>
      <c r="E51" s="1" t="s">
        <v>261</v>
      </c>
      <c r="F51" s="1" t="s">
        <v>19</v>
      </c>
      <c r="G51" s="1" t="s">
        <v>44</v>
      </c>
      <c r="H51" s="1" t="s">
        <v>45</v>
      </c>
      <c r="I51" s="1" t="s">
        <v>21</v>
      </c>
      <c r="J51" s="3">
        <v>-3000</v>
      </c>
      <c r="K51" s="1" t="s">
        <v>78</v>
      </c>
      <c r="L51" s="1" t="s">
        <v>21</v>
      </c>
      <c r="M51" s="1" t="s">
        <v>21</v>
      </c>
      <c r="N51" s="1" t="s">
        <v>79</v>
      </c>
      <c r="O51" s="2">
        <v>42369</v>
      </c>
      <c r="P51" s="2">
        <v>42383</v>
      </c>
      <c r="Q51" s="1" t="s">
        <v>22</v>
      </c>
    </row>
    <row r="52" spans="1:17" x14ac:dyDescent="0.25">
      <c r="A52" s="1" t="s">
        <v>23</v>
      </c>
      <c r="B52" s="1" t="s">
        <v>261</v>
      </c>
      <c r="C52" s="1" t="s">
        <v>337</v>
      </c>
      <c r="D52" s="1" t="s">
        <v>332</v>
      </c>
      <c r="E52" s="1" t="s">
        <v>261</v>
      </c>
      <c r="F52" s="1" t="s">
        <v>19</v>
      </c>
      <c r="G52" s="1" t="s">
        <v>44</v>
      </c>
      <c r="H52" s="1" t="s">
        <v>45</v>
      </c>
      <c r="I52" s="1" t="s">
        <v>21</v>
      </c>
      <c r="J52" s="3">
        <v>-4306</v>
      </c>
      <c r="K52" s="1" t="s">
        <v>72</v>
      </c>
      <c r="L52" s="1" t="s">
        <v>21</v>
      </c>
      <c r="M52" s="1" t="s">
        <v>21</v>
      </c>
      <c r="N52" s="1" t="s">
        <v>337</v>
      </c>
      <c r="O52" s="2">
        <v>42369</v>
      </c>
      <c r="P52" s="2">
        <v>42397</v>
      </c>
      <c r="Q52" s="1" t="s">
        <v>22</v>
      </c>
    </row>
    <row r="53" spans="1:17" x14ac:dyDescent="0.25">
      <c r="A53" s="1" t="s">
        <v>17</v>
      </c>
      <c r="B53" s="1" t="s">
        <v>24</v>
      </c>
      <c r="C53" s="1" t="s">
        <v>248</v>
      </c>
      <c r="D53" s="1" t="s">
        <v>324</v>
      </c>
      <c r="E53" s="1" t="s">
        <v>261</v>
      </c>
      <c r="F53" s="1" t="s">
        <v>19</v>
      </c>
      <c r="G53" s="1" t="s">
        <v>41</v>
      </c>
      <c r="H53" s="1" t="s">
        <v>32</v>
      </c>
      <c r="I53" s="1" t="s">
        <v>21</v>
      </c>
      <c r="J53" s="3">
        <v>0</v>
      </c>
      <c r="K53" s="1" t="s">
        <v>340</v>
      </c>
      <c r="L53" s="1" t="s">
        <v>21</v>
      </c>
      <c r="M53" s="1" t="s">
        <v>21</v>
      </c>
      <c r="N53" s="1" t="s">
        <v>248</v>
      </c>
      <c r="O53" s="2">
        <v>42369</v>
      </c>
      <c r="P53" s="2">
        <v>42383</v>
      </c>
      <c r="Q53" s="1" t="s">
        <v>22</v>
      </c>
    </row>
    <row r="54" spans="1:17" x14ac:dyDescent="0.25">
      <c r="A54" s="1" t="s">
        <v>23</v>
      </c>
      <c r="B54" s="1" t="s">
        <v>24</v>
      </c>
      <c r="C54" s="1" t="s">
        <v>77</v>
      </c>
      <c r="D54" s="1" t="s">
        <v>331</v>
      </c>
      <c r="E54" s="1" t="s">
        <v>261</v>
      </c>
      <c r="F54" s="1" t="s">
        <v>19</v>
      </c>
      <c r="G54" s="1" t="s">
        <v>50</v>
      </c>
      <c r="H54" s="1" t="s">
        <v>45</v>
      </c>
      <c r="I54" s="1" t="s">
        <v>21</v>
      </c>
      <c r="J54" s="3">
        <v>-21000</v>
      </c>
      <c r="K54" s="1" t="s">
        <v>78</v>
      </c>
      <c r="L54" s="1" t="s">
        <v>21</v>
      </c>
      <c r="M54" s="1" t="s">
        <v>21</v>
      </c>
      <c r="N54" s="1" t="s">
        <v>79</v>
      </c>
      <c r="O54" s="2">
        <v>42369</v>
      </c>
      <c r="P54" s="2">
        <v>42383</v>
      </c>
      <c r="Q54" s="1" t="s">
        <v>22</v>
      </c>
    </row>
    <row r="55" spans="1:17" x14ac:dyDescent="0.25">
      <c r="A55" s="1" t="s">
        <v>23</v>
      </c>
      <c r="B55" s="1" t="s">
        <v>261</v>
      </c>
      <c r="C55" s="1" t="s">
        <v>337</v>
      </c>
      <c r="D55" s="1" t="s">
        <v>324</v>
      </c>
      <c r="E55" s="1" t="s">
        <v>261</v>
      </c>
      <c r="F55" s="1" t="s">
        <v>19</v>
      </c>
      <c r="G55" s="1" t="s">
        <v>41</v>
      </c>
      <c r="H55" s="1" t="s">
        <v>32</v>
      </c>
      <c r="I55" s="1" t="s">
        <v>21</v>
      </c>
      <c r="J55" s="3">
        <v>-9623</v>
      </c>
      <c r="K55" s="1" t="s">
        <v>117</v>
      </c>
      <c r="L55" s="1" t="s">
        <v>21</v>
      </c>
      <c r="M55" s="1" t="s">
        <v>21</v>
      </c>
      <c r="N55" s="1" t="s">
        <v>337</v>
      </c>
      <c r="O55" s="2">
        <v>42369</v>
      </c>
      <c r="P55" s="2">
        <v>42397</v>
      </c>
      <c r="Q55" s="1" t="s">
        <v>22</v>
      </c>
    </row>
    <row r="56" spans="1:17" x14ac:dyDescent="0.25">
      <c r="A56" s="1" t="s">
        <v>23</v>
      </c>
      <c r="B56" s="1" t="s">
        <v>261</v>
      </c>
      <c r="C56" s="1" t="s">
        <v>341</v>
      </c>
      <c r="D56" s="1" t="s">
        <v>324</v>
      </c>
      <c r="E56" s="1" t="s">
        <v>261</v>
      </c>
      <c r="F56" s="1" t="s">
        <v>19</v>
      </c>
      <c r="G56" s="1" t="s">
        <v>41</v>
      </c>
      <c r="H56" s="1" t="s">
        <v>32</v>
      </c>
      <c r="I56" s="1" t="s">
        <v>21</v>
      </c>
      <c r="J56" s="3">
        <v>366</v>
      </c>
      <c r="K56" s="1" t="s">
        <v>117</v>
      </c>
      <c r="L56" s="1" t="s">
        <v>21</v>
      </c>
      <c r="M56" s="1" t="s">
        <v>21</v>
      </c>
      <c r="N56" s="1" t="s">
        <v>341</v>
      </c>
      <c r="O56" s="2">
        <v>42369</v>
      </c>
      <c r="P56" s="2">
        <v>42405</v>
      </c>
      <c r="Q56" s="1" t="s">
        <v>22</v>
      </c>
    </row>
    <row r="57" spans="1:17" x14ac:dyDescent="0.25">
      <c r="A57" s="1" t="s">
        <v>23</v>
      </c>
      <c r="B57" s="1" t="s">
        <v>261</v>
      </c>
      <c r="C57" s="1" t="s">
        <v>337</v>
      </c>
      <c r="D57" s="1" t="s">
        <v>335</v>
      </c>
      <c r="E57" s="1" t="s">
        <v>261</v>
      </c>
      <c r="F57" s="1" t="s">
        <v>19</v>
      </c>
      <c r="G57" s="1" t="s">
        <v>242</v>
      </c>
      <c r="H57" s="1" t="s">
        <v>45</v>
      </c>
      <c r="I57" s="1" t="s">
        <v>21</v>
      </c>
      <c r="J57" s="3">
        <v>-3035</v>
      </c>
      <c r="K57" s="1" t="s">
        <v>245</v>
      </c>
      <c r="L57" s="1" t="s">
        <v>21</v>
      </c>
      <c r="M57" s="1" t="s">
        <v>21</v>
      </c>
      <c r="N57" s="1" t="s">
        <v>337</v>
      </c>
      <c r="O57" s="2">
        <v>42369</v>
      </c>
      <c r="P57" s="2">
        <v>42397</v>
      </c>
      <c r="Q57" s="1" t="s">
        <v>22</v>
      </c>
    </row>
    <row r="58" spans="1:17" x14ac:dyDescent="0.25">
      <c r="A58" s="1" t="s">
        <v>17</v>
      </c>
      <c r="B58" s="1" t="s">
        <v>24</v>
      </c>
      <c r="C58" s="1" t="s">
        <v>248</v>
      </c>
      <c r="D58" s="1" t="s">
        <v>324</v>
      </c>
      <c r="E58" s="1" t="s">
        <v>261</v>
      </c>
      <c r="F58" s="1" t="s">
        <v>19</v>
      </c>
      <c r="G58" s="1" t="s">
        <v>41</v>
      </c>
      <c r="H58" s="1" t="s">
        <v>32</v>
      </c>
      <c r="I58" s="1" t="s">
        <v>21</v>
      </c>
      <c r="J58" s="3">
        <v>0</v>
      </c>
      <c r="K58" s="1" t="s">
        <v>342</v>
      </c>
      <c r="L58" s="1" t="s">
        <v>21</v>
      </c>
      <c r="M58" s="1" t="s">
        <v>21</v>
      </c>
      <c r="N58" s="1" t="s">
        <v>248</v>
      </c>
      <c r="O58" s="2">
        <v>42369</v>
      </c>
      <c r="P58" s="2">
        <v>42383</v>
      </c>
      <c r="Q58" s="1" t="s">
        <v>22</v>
      </c>
    </row>
    <row r="59" spans="1:17" x14ac:dyDescent="0.25">
      <c r="A59" s="1" t="s">
        <v>17</v>
      </c>
      <c r="B59" s="1" t="s">
        <v>24</v>
      </c>
      <c r="C59" s="1" t="s">
        <v>248</v>
      </c>
      <c r="D59" s="1" t="s">
        <v>324</v>
      </c>
      <c r="E59" s="1" t="s">
        <v>261</v>
      </c>
      <c r="F59" s="1" t="s">
        <v>19</v>
      </c>
      <c r="G59" s="1" t="s">
        <v>41</v>
      </c>
      <c r="H59" s="1" t="s">
        <v>32</v>
      </c>
      <c r="I59" s="1" t="s">
        <v>21</v>
      </c>
      <c r="J59" s="3">
        <v>0</v>
      </c>
      <c r="K59" s="1" t="s">
        <v>343</v>
      </c>
      <c r="L59" s="1" t="s">
        <v>21</v>
      </c>
      <c r="M59" s="1" t="s">
        <v>21</v>
      </c>
      <c r="N59" s="1" t="s">
        <v>248</v>
      </c>
      <c r="O59" s="2">
        <v>42369</v>
      </c>
      <c r="P59" s="2">
        <v>42383</v>
      </c>
      <c r="Q59" s="1" t="s">
        <v>22</v>
      </c>
    </row>
    <row r="60" spans="1:17" x14ac:dyDescent="0.25">
      <c r="A60" s="1" t="s">
        <v>17</v>
      </c>
      <c r="B60" s="1" t="s">
        <v>24</v>
      </c>
      <c r="C60" s="1" t="s">
        <v>248</v>
      </c>
      <c r="D60" s="1" t="s">
        <v>324</v>
      </c>
      <c r="E60" s="1" t="s">
        <v>261</v>
      </c>
      <c r="F60" s="1" t="s">
        <v>19</v>
      </c>
      <c r="G60" s="1" t="s">
        <v>41</v>
      </c>
      <c r="H60" s="1" t="s">
        <v>32</v>
      </c>
      <c r="I60" s="1" t="s">
        <v>21</v>
      </c>
      <c r="J60" s="3">
        <v>0</v>
      </c>
      <c r="K60" s="1" t="s">
        <v>342</v>
      </c>
      <c r="L60" s="1" t="s">
        <v>21</v>
      </c>
      <c r="M60" s="1" t="s">
        <v>21</v>
      </c>
      <c r="N60" s="1" t="s">
        <v>248</v>
      </c>
      <c r="O60" s="2">
        <v>42369</v>
      </c>
      <c r="P60" s="2">
        <v>42383</v>
      </c>
      <c r="Q60" s="1" t="s">
        <v>22</v>
      </c>
    </row>
    <row r="61" spans="1:17" x14ac:dyDescent="0.25">
      <c r="A61" s="1" t="s">
        <v>17</v>
      </c>
      <c r="B61" s="1" t="s">
        <v>24</v>
      </c>
      <c r="C61" s="1" t="s">
        <v>248</v>
      </c>
      <c r="D61" s="1" t="s">
        <v>324</v>
      </c>
      <c r="E61" s="1" t="s">
        <v>261</v>
      </c>
      <c r="F61" s="1" t="s">
        <v>19</v>
      </c>
      <c r="G61" s="1" t="s">
        <v>41</v>
      </c>
      <c r="H61" s="1" t="s">
        <v>32</v>
      </c>
      <c r="I61" s="1" t="s">
        <v>21</v>
      </c>
      <c r="J61" s="3">
        <v>0</v>
      </c>
      <c r="K61" s="1" t="s">
        <v>342</v>
      </c>
      <c r="L61" s="1" t="s">
        <v>21</v>
      </c>
      <c r="M61" s="1" t="s">
        <v>21</v>
      </c>
      <c r="N61" s="1" t="s">
        <v>248</v>
      </c>
      <c r="O61" s="2">
        <v>42369</v>
      </c>
      <c r="P61" s="2">
        <v>42383</v>
      </c>
      <c r="Q61" s="1" t="s">
        <v>22</v>
      </c>
    </row>
    <row r="62" spans="1:17" x14ac:dyDescent="0.25">
      <c r="A62" s="1" t="s">
        <v>23</v>
      </c>
      <c r="B62" s="1" t="s">
        <v>261</v>
      </c>
      <c r="C62" s="1" t="s">
        <v>337</v>
      </c>
      <c r="D62" s="1" t="s">
        <v>334</v>
      </c>
      <c r="E62" s="1" t="s">
        <v>261</v>
      </c>
      <c r="F62" s="1" t="s">
        <v>19</v>
      </c>
      <c r="G62" s="1" t="s">
        <v>87</v>
      </c>
      <c r="H62" s="1" t="s">
        <v>45</v>
      </c>
      <c r="I62" s="1" t="s">
        <v>21</v>
      </c>
      <c r="J62" s="3">
        <v>-305</v>
      </c>
      <c r="K62" s="1" t="s">
        <v>88</v>
      </c>
      <c r="L62" s="1" t="s">
        <v>21</v>
      </c>
      <c r="M62" s="1" t="s">
        <v>21</v>
      </c>
      <c r="N62" s="1" t="s">
        <v>337</v>
      </c>
      <c r="O62" s="2">
        <v>42369</v>
      </c>
      <c r="P62" s="2">
        <v>42397</v>
      </c>
      <c r="Q62" s="1" t="s">
        <v>22</v>
      </c>
    </row>
    <row r="63" spans="1:17" x14ac:dyDescent="0.25">
      <c r="A63" s="1" t="s">
        <v>17</v>
      </c>
      <c r="B63" s="1" t="s">
        <v>24</v>
      </c>
      <c r="C63" s="1" t="s">
        <v>248</v>
      </c>
      <c r="D63" s="1" t="s">
        <v>344</v>
      </c>
      <c r="E63" s="1" t="s">
        <v>261</v>
      </c>
      <c r="F63" s="1" t="s">
        <v>19</v>
      </c>
      <c r="G63" s="1" t="s">
        <v>127</v>
      </c>
      <c r="H63" s="1" t="s">
        <v>32</v>
      </c>
      <c r="I63" s="1" t="s">
        <v>21</v>
      </c>
      <c r="J63" s="3">
        <v>0</v>
      </c>
      <c r="K63" s="1" t="s">
        <v>342</v>
      </c>
      <c r="L63" s="1" t="s">
        <v>21</v>
      </c>
      <c r="M63" s="1" t="s">
        <v>21</v>
      </c>
      <c r="N63" s="1" t="s">
        <v>248</v>
      </c>
      <c r="O63" s="2">
        <v>42369</v>
      </c>
      <c r="P63" s="2">
        <v>42383</v>
      </c>
      <c r="Q63" s="1" t="s">
        <v>22</v>
      </c>
    </row>
    <row r="64" spans="1:17" x14ac:dyDescent="0.25">
      <c r="A64" s="1" t="s">
        <v>17</v>
      </c>
      <c r="B64" s="1" t="s">
        <v>24</v>
      </c>
      <c r="C64" s="1" t="s">
        <v>248</v>
      </c>
      <c r="D64" s="1" t="s">
        <v>345</v>
      </c>
      <c r="E64" s="1" t="s">
        <v>261</v>
      </c>
      <c r="F64" s="1" t="s">
        <v>19</v>
      </c>
      <c r="G64" s="1" t="s">
        <v>123</v>
      </c>
      <c r="H64" s="1" t="s">
        <v>20</v>
      </c>
      <c r="I64" s="1" t="s">
        <v>21</v>
      </c>
      <c r="J64" s="3">
        <v>0</v>
      </c>
      <c r="K64" s="1" t="s">
        <v>342</v>
      </c>
      <c r="L64" s="1" t="s">
        <v>21</v>
      </c>
      <c r="M64" s="1" t="s">
        <v>21</v>
      </c>
      <c r="N64" s="1" t="s">
        <v>248</v>
      </c>
      <c r="O64" s="2">
        <v>42369</v>
      </c>
      <c r="P64" s="2">
        <v>42383</v>
      </c>
      <c r="Q64" s="1" t="s">
        <v>22</v>
      </c>
    </row>
    <row r="65" spans="1:17" x14ac:dyDescent="0.25">
      <c r="A65" s="1" t="s">
        <v>17</v>
      </c>
      <c r="B65" s="1" t="s">
        <v>24</v>
      </c>
      <c r="C65" s="1" t="s">
        <v>248</v>
      </c>
      <c r="D65" s="1" t="s">
        <v>344</v>
      </c>
      <c r="E65" s="1" t="s">
        <v>261</v>
      </c>
      <c r="F65" s="1" t="s">
        <v>19</v>
      </c>
      <c r="G65" s="1" t="s">
        <v>127</v>
      </c>
      <c r="H65" s="1" t="s">
        <v>32</v>
      </c>
      <c r="I65" s="1" t="s">
        <v>21</v>
      </c>
      <c r="J65" s="3">
        <v>0</v>
      </c>
      <c r="K65" s="1" t="s">
        <v>346</v>
      </c>
      <c r="L65" s="1" t="s">
        <v>21</v>
      </c>
      <c r="M65" s="1" t="s">
        <v>21</v>
      </c>
      <c r="N65" s="1" t="s">
        <v>248</v>
      </c>
      <c r="O65" s="2">
        <v>42369</v>
      </c>
      <c r="P65" s="2">
        <v>42383</v>
      </c>
      <c r="Q65" s="1" t="s">
        <v>22</v>
      </c>
    </row>
    <row r="66" spans="1:17" x14ac:dyDescent="0.25">
      <c r="A66" s="1" t="s">
        <v>17</v>
      </c>
      <c r="B66" s="1" t="s">
        <v>24</v>
      </c>
      <c r="C66" s="1" t="s">
        <v>248</v>
      </c>
      <c r="D66" s="1" t="s">
        <v>345</v>
      </c>
      <c r="E66" s="1" t="s">
        <v>261</v>
      </c>
      <c r="F66" s="1" t="s">
        <v>19</v>
      </c>
      <c r="G66" s="1" t="s">
        <v>123</v>
      </c>
      <c r="H66" s="1" t="s">
        <v>20</v>
      </c>
      <c r="I66" s="1" t="s">
        <v>21</v>
      </c>
      <c r="J66" s="3">
        <v>0</v>
      </c>
      <c r="K66" s="1" t="s">
        <v>347</v>
      </c>
      <c r="L66" s="1" t="s">
        <v>21</v>
      </c>
      <c r="M66" s="1" t="s">
        <v>21</v>
      </c>
      <c r="N66" s="1" t="s">
        <v>248</v>
      </c>
      <c r="O66" s="2">
        <v>42369</v>
      </c>
      <c r="P66" s="2">
        <v>42383</v>
      </c>
      <c r="Q66" s="1" t="s">
        <v>22</v>
      </c>
    </row>
    <row r="67" spans="1:17" x14ac:dyDescent="0.25">
      <c r="A67" s="1" t="s">
        <v>23</v>
      </c>
      <c r="B67" s="1" t="s">
        <v>24</v>
      </c>
      <c r="C67" s="1" t="s">
        <v>58</v>
      </c>
      <c r="D67" s="1" t="s">
        <v>326</v>
      </c>
      <c r="E67" s="1" t="s">
        <v>261</v>
      </c>
      <c r="F67" s="1" t="s">
        <v>19</v>
      </c>
      <c r="G67" s="1" t="s">
        <v>49</v>
      </c>
      <c r="H67" s="1" t="s">
        <v>20</v>
      </c>
      <c r="I67" s="1" t="s">
        <v>21</v>
      </c>
      <c r="J67" s="3">
        <v>-4590</v>
      </c>
      <c r="K67" s="1" t="s">
        <v>59</v>
      </c>
      <c r="L67" s="1" t="s">
        <v>21</v>
      </c>
      <c r="M67" s="1" t="s">
        <v>21</v>
      </c>
      <c r="N67" s="1" t="s">
        <v>58</v>
      </c>
      <c r="O67" s="2">
        <v>42460</v>
      </c>
      <c r="P67" s="2">
        <v>42471</v>
      </c>
      <c r="Q67" s="1" t="s">
        <v>22</v>
      </c>
    </row>
    <row r="68" spans="1:17" x14ac:dyDescent="0.25">
      <c r="A68" s="1" t="s">
        <v>23</v>
      </c>
      <c r="B68" s="1" t="s">
        <v>24</v>
      </c>
      <c r="C68" s="1" t="s">
        <v>58</v>
      </c>
      <c r="D68" s="1" t="s">
        <v>332</v>
      </c>
      <c r="E68" s="1" t="s">
        <v>261</v>
      </c>
      <c r="F68" s="1" t="s">
        <v>19</v>
      </c>
      <c r="G68" s="1" t="s">
        <v>44</v>
      </c>
      <c r="H68" s="1" t="s">
        <v>45</v>
      </c>
      <c r="I68" s="1" t="s">
        <v>21</v>
      </c>
      <c r="J68" s="3">
        <v>-1076</v>
      </c>
      <c r="K68" s="1" t="s">
        <v>59</v>
      </c>
      <c r="L68" s="1" t="s">
        <v>21</v>
      </c>
      <c r="M68" s="1" t="s">
        <v>21</v>
      </c>
      <c r="N68" s="1" t="s">
        <v>58</v>
      </c>
      <c r="O68" s="2">
        <v>42460</v>
      </c>
      <c r="P68" s="2">
        <v>42471</v>
      </c>
      <c r="Q68" s="1" t="s">
        <v>22</v>
      </c>
    </row>
    <row r="69" spans="1:17" x14ac:dyDescent="0.25">
      <c r="A69" s="1" t="s">
        <v>23</v>
      </c>
      <c r="B69" s="1" t="s">
        <v>24</v>
      </c>
      <c r="C69" s="1" t="s">
        <v>58</v>
      </c>
      <c r="D69" s="1" t="s">
        <v>335</v>
      </c>
      <c r="E69" s="1" t="s">
        <v>261</v>
      </c>
      <c r="F69" s="1" t="s">
        <v>19</v>
      </c>
      <c r="G69" s="1" t="s">
        <v>242</v>
      </c>
      <c r="H69" s="1" t="s">
        <v>45</v>
      </c>
      <c r="I69" s="1" t="s">
        <v>21</v>
      </c>
      <c r="J69" s="3">
        <v>12769</v>
      </c>
      <c r="K69" s="1" t="s">
        <v>59</v>
      </c>
      <c r="L69" s="1" t="s">
        <v>21</v>
      </c>
      <c r="M69" s="1" t="s">
        <v>21</v>
      </c>
      <c r="N69" s="1" t="s">
        <v>58</v>
      </c>
      <c r="O69" s="2">
        <v>42460</v>
      </c>
      <c r="P69" s="2">
        <v>42471</v>
      </c>
      <c r="Q69" s="1" t="s">
        <v>22</v>
      </c>
    </row>
    <row r="70" spans="1:17" x14ac:dyDescent="0.25">
      <c r="A70" s="1" t="s">
        <v>23</v>
      </c>
      <c r="B70" s="1" t="s">
        <v>24</v>
      </c>
      <c r="C70" s="1" t="s">
        <v>58</v>
      </c>
      <c r="D70" s="1" t="s">
        <v>324</v>
      </c>
      <c r="E70" s="1" t="s">
        <v>261</v>
      </c>
      <c r="F70" s="1" t="s">
        <v>19</v>
      </c>
      <c r="G70" s="1" t="s">
        <v>41</v>
      </c>
      <c r="H70" s="1" t="s">
        <v>32</v>
      </c>
      <c r="I70" s="1" t="s">
        <v>21</v>
      </c>
      <c r="J70" s="3">
        <v>-271</v>
      </c>
      <c r="K70" s="1" t="s">
        <v>59</v>
      </c>
      <c r="L70" s="1" t="s">
        <v>21</v>
      </c>
      <c r="M70" s="1" t="s">
        <v>21</v>
      </c>
      <c r="N70" s="1" t="s">
        <v>58</v>
      </c>
      <c r="O70" s="2">
        <v>42460</v>
      </c>
      <c r="P70" s="2">
        <v>42471</v>
      </c>
      <c r="Q70" s="1" t="s">
        <v>22</v>
      </c>
    </row>
    <row r="71" spans="1:17" x14ac:dyDescent="0.25">
      <c r="A71" s="1" t="s">
        <v>23</v>
      </c>
      <c r="B71" s="1" t="s">
        <v>24</v>
      </c>
      <c r="C71" s="1" t="s">
        <v>58</v>
      </c>
      <c r="D71" s="1" t="s">
        <v>324</v>
      </c>
      <c r="E71" s="1" t="s">
        <v>261</v>
      </c>
      <c r="F71" s="1" t="s">
        <v>19</v>
      </c>
      <c r="G71" s="1" t="s">
        <v>41</v>
      </c>
      <c r="H71" s="1" t="s">
        <v>32</v>
      </c>
      <c r="I71" s="1" t="s">
        <v>21</v>
      </c>
      <c r="J71" s="3">
        <v>46</v>
      </c>
      <c r="K71" s="1" t="s">
        <v>59</v>
      </c>
      <c r="L71" s="1" t="s">
        <v>21</v>
      </c>
      <c r="M71" s="1" t="s">
        <v>21</v>
      </c>
      <c r="N71" s="1" t="s">
        <v>58</v>
      </c>
      <c r="O71" s="2">
        <v>42460</v>
      </c>
      <c r="P71" s="2">
        <v>42471</v>
      </c>
      <c r="Q71" s="1" t="s">
        <v>22</v>
      </c>
    </row>
    <row r="72" spans="1:17" x14ac:dyDescent="0.25">
      <c r="A72" s="1" t="s">
        <v>23</v>
      </c>
      <c r="B72" s="1" t="s">
        <v>24</v>
      </c>
      <c r="C72" s="1" t="s">
        <v>60</v>
      </c>
      <c r="D72" s="1" t="s">
        <v>326</v>
      </c>
      <c r="E72" s="1" t="s">
        <v>261</v>
      </c>
      <c r="F72" s="1" t="s">
        <v>19</v>
      </c>
      <c r="G72" s="1" t="s">
        <v>49</v>
      </c>
      <c r="H72" s="1" t="s">
        <v>20</v>
      </c>
      <c r="I72" s="1" t="s">
        <v>21</v>
      </c>
      <c r="J72" s="3">
        <v>-9181</v>
      </c>
      <c r="K72" s="1" t="s">
        <v>102</v>
      </c>
      <c r="L72" s="1" t="s">
        <v>21</v>
      </c>
      <c r="M72" s="1" t="s">
        <v>21</v>
      </c>
      <c r="N72" s="1" t="s">
        <v>60</v>
      </c>
      <c r="O72" s="2">
        <v>42551</v>
      </c>
      <c r="P72" s="2">
        <v>42563</v>
      </c>
      <c r="Q72" s="1" t="s">
        <v>22</v>
      </c>
    </row>
    <row r="73" spans="1:17" x14ac:dyDescent="0.25">
      <c r="A73" s="1" t="s">
        <v>23</v>
      </c>
      <c r="B73" s="1" t="s">
        <v>24</v>
      </c>
      <c r="C73" s="1" t="s">
        <v>80</v>
      </c>
      <c r="D73" s="1" t="s">
        <v>326</v>
      </c>
      <c r="E73" s="1" t="s">
        <v>261</v>
      </c>
      <c r="F73" s="1" t="s">
        <v>19</v>
      </c>
      <c r="G73" s="1" t="s">
        <v>49</v>
      </c>
      <c r="H73" s="1" t="s">
        <v>20</v>
      </c>
      <c r="I73" s="1" t="s">
        <v>21</v>
      </c>
      <c r="J73" s="3">
        <v>4590</v>
      </c>
      <c r="K73" s="1" t="s">
        <v>81</v>
      </c>
      <c r="L73" s="1" t="s">
        <v>21</v>
      </c>
      <c r="M73" s="1" t="s">
        <v>21</v>
      </c>
      <c r="N73" s="1" t="s">
        <v>58</v>
      </c>
      <c r="O73" s="2">
        <v>42551</v>
      </c>
      <c r="P73" s="2">
        <v>42562</v>
      </c>
      <c r="Q73" s="1" t="s">
        <v>22</v>
      </c>
    </row>
    <row r="74" spans="1:17" x14ac:dyDescent="0.25">
      <c r="A74" s="1" t="s">
        <v>23</v>
      </c>
      <c r="B74" s="1" t="s">
        <v>24</v>
      </c>
      <c r="C74" s="1" t="s">
        <v>80</v>
      </c>
      <c r="D74" s="1" t="s">
        <v>332</v>
      </c>
      <c r="E74" s="1" t="s">
        <v>261</v>
      </c>
      <c r="F74" s="1" t="s">
        <v>19</v>
      </c>
      <c r="G74" s="1" t="s">
        <v>44</v>
      </c>
      <c r="H74" s="1" t="s">
        <v>45</v>
      </c>
      <c r="I74" s="1" t="s">
        <v>21</v>
      </c>
      <c r="J74" s="3">
        <v>1076</v>
      </c>
      <c r="K74" s="1" t="s">
        <v>81</v>
      </c>
      <c r="L74" s="1" t="s">
        <v>21</v>
      </c>
      <c r="M74" s="1" t="s">
        <v>21</v>
      </c>
      <c r="N74" s="1" t="s">
        <v>58</v>
      </c>
      <c r="O74" s="2">
        <v>42551</v>
      </c>
      <c r="P74" s="2">
        <v>42562</v>
      </c>
      <c r="Q74" s="1" t="s">
        <v>22</v>
      </c>
    </row>
    <row r="75" spans="1:17" x14ac:dyDescent="0.25">
      <c r="A75" s="1" t="s">
        <v>23</v>
      </c>
      <c r="B75" s="1" t="s">
        <v>24</v>
      </c>
      <c r="C75" s="1" t="s">
        <v>80</v>
      </c>
      <c r="D75" s="1" t="s">
        <v>335</v>
      </c>
      <c r="E75" s="1" t="s">
        <v>261</v>
      </c>
      <c r="F75" s="1" t="s">
        <v>19</v>
      </c>
      <c r="G75" s="1" t="s">
        <v>242</v>
      </c>
      <c r="H75" s="1" t="s">
        <v>45</v>
      </c>
      <c r="I75" s="1" t="s">
        <v>21</v>
      </c>
      <c r="J75" s="3">
        <v>-12769</v>
      </c>
      <c r="K75" s="1" t="s">
        <v>81</v>
      </c>
      <c r="L75" s="1" t="s">
        <v>21</v>
      </c>
      <c r="M75" s="1" t="s">
        <v>21</v>
      </c>
      <c r="N75" s="1" t="s">
        <v>58</v>
      </c>
      <c r="O75" s="2">
        <v>42551</v>
      </c>
      <c r="P75" s="2">
        <v>42562</v>
      </c>
      <c r="Q75" s="1" t="s">
        <v>22</v>
      </c>
    </row>
    <row r="76" spans="1:17" x14ac:dyDescent="0.25">
      <c r="A76" s="1" t="s">
        <v>23</v>
      </c>
      <c r="B76" s="1" t="s">
        <v>24</v>
      </c>
      <c r="C76" s="1" t="s">
        <v>80</v>
      </c>
      <c r="D76" s="1" t="s">
        <v>324</v>
      </c>
      <c r="E76" s="1" t="s">
        <v>261</v>
      </c>
      <c r="F76" s="1" t="s">
        <v>19</v>
      </c>
      <c r="G76" s="1" t="s">
        <v>41</v>
      </c>
      <c r="H76" s="1" t="s">
        <v>32</v>
      </c>
      <c r="I76" s="1" t="s">
        <v>21</v>
      </c>
      <c r="J76" s="3">
        <v>271</v>
      </c>
      <c r="K76" s="1" t="s">
        <v>81</v>
      </c>
      <c r="L76" s="1" t="s">
        <v>21</v>
      </c>
      <c r="M76" s="1" t="s">
        <v>21</v>
      </c>
      <c r="N76" s="1" t="s">
        <v>58</v>
      </c>
      <c r="O76" s="2">
        <v>42551</v>
      </c>
      <c r="P76" s="2">
        <v>42562</v>
      </c>
      <c r="Q76" s="1" t="s">
        <v>22</v>
      </c>
    </row>
    <row r="77" spans="1:17" x14ac:dyDescent="0.25">
      <c r="A77" s="1" t="s">
        <v>23</v>
      </c>
      <c r="B77" s="1" t="s">
        <v>24</v>
      </c>
      <c r="C77" s="1" t="s">
        <v>60</v>
      </c>
      <c r="D77" s="1" t="s">
        <v>333</v>
      </c>
      <c r="E77" s="1" t="s">
        <v>261</v>
      </c>
      <c r="F77" s="1" t="s">
        <v>19</v>
      </c>
      <c r="G77" s="1" t="s">
        <v>51</v>
      </c>
      <c r="H77" s="1" t="s">
        <v>45</v>
      </c>
      <c r="I77" s="1" t="s">
        <v>21</v>
      </c>
      <c r="J77" s="3">
        <v>162</v>
      </c>
      <c r="K77" s="1" t="s">
        <v>52</v>
      </c>
      <c r="L77" s="1" t="s">
        <v>21</v>
      </c>
      <c r="M77" s="1" t="s">
        <v>21</v>
      </c>
      <c r="N77" s="1" t="s">
        <v>60</v>
      </c>
      <c r="O77" s="2">
        <v>42551</v>
      </c>
      <c r="P77" s="2">
        <v>42563</v>
      </c>
      <c r="Q77" s="1" t="s">
        <v>22</v>
      </c>
    </row>
    <row r="78" spans="1:17" x14ac:dyDescent="0.25">
      <c r="A78" s="1" t="s">
        <v>23</v>
      </c>
      <c r="B78" s="1" t="s">
        <v>24</v>
      </c>
      <c r="C78" s="1" t="s">
        <v>60</v>
      </c>
      <c r="D78" s="1" t="s">
        <v>324</v>
      </c>
      <c r="E78" s="1" t="s">
        <v>261</v>
      </c>
      <c r="F78" s="1" t="s">
        <v>19</v>
      </c>
      <c r="G78" s="1" t="s">
        <v>41</v>
      </c>
      <c r="H78" s="1" t="s">
        <v>32</v>
      </c>
      <c r="I78" s="1" t="s">
        <v>21</v>
      </c>
      <c r="J78" s="3">
        <v>-541</v>
      </c>
      <c r="K78" s="1" t="s">
        <v>117</v>
      </c>
      <c r="L78" s="1" t="s">
        <v>21</v>
      </c>
      <c r="M78" s="1" t="s">
        <v>21</v>
      </c>
      <c r="N78" s="1" t="s">
        <v>60</v>
      </c>
      <c r="O78" s="2">
        <v>42551</v>
      </c>
      <c r="P78" s="2">
        <v>42563</v>
      </c>
      <c r="Q78" s="1" t="s">
        <v>22</v>
      </c>
    </row>
    <row r="79" spans="1:17" x14ac:dyDescent="0.25">
      <c r="A79" s="1" t="s">
        <v>23</v>
      </c>
      <c r="B79" s="1" t="s">
        <v>24</v>
      </c>
      <c r="C79" s="1" t="s">
        <v>80</v>
      </c>
      <c r="D79" s="1" t="s">
        <v>324</v>
      </c>
      <c r="E79" s="1" t="s">
        <v>261</v>
      </c>
      <c r="F79" s="1" t="s">
        <v>19</v>
      </c>
      <c r="G79" s="1" t="s">
        <v>41</v>
      </c>
      <c r="H79" s="1" t="s">
        <v>32</v>
      </c>
      <c r="I79" s="1" t="s">
        <v>21</v>
      </c>
      <c r="J79" s="3">
        <v>-46</v>
      </c>
      <c r="K79" s="1" t="s">
        <v>81</v>
      </c>
      <c r="L79" s="1" t="s">
        <v>21</v>
      </c>
      <c r="M79" s="1" t="s">
        <v>21</v>
      </c>
      <c r="N79" s="1" t="s">
        <v>58</v>
      </c>
      <c r="O79" s="2">
        <v>42551</v>
      </c>
      <c r="P79" s="2">
        <v>42562</v>
      </c>
      <c r="Q79" s="1" t="s">
        <v>22</v>
      </c>
    </row>
    <row r="80" spans="1:17" x14ac:dyDescent="0.25">
      <c r="A80" s="1" t="s">
        <v>23</v>
      </c>
      <c r="B80" s="1" t="s">
        <v>24</v>
      </c>
      <c r="C80" s="1" t="s">
        <v>60</v>
      </c>
      <c r="D80" s="1" t="s">
        <v>334</v>
      </c>
      <c r="E80" s="1" t="s">
        <v>261</v>
      </c>
      <c r="F80" s="1" t="s">
        <v>19</v>
      </c>
      <c r="G80" s="1" t="s">
        <v>87</v>
      </c>
      <c r="H80" s="1" t="s">
        <v>45</v>
      </c>
      <c r="I80" s="1" t="s">
        <v>21</v>
      </c>
      <c r="J80" s="3">
        <v>272</v>
      </c>
      <c r="K80" s="1" t="s">
        <v>88</v>
      </c>
      <c r="L80" s="1" t="s">
        <v>21</v>
      </c>
      <c r="M80" s="1" t="s">
        <v>21</v>
      </c>
      <c r="N80" s="1" t="s">
        <v>60</v>
      </c>
      <c r="O80" s="2">
        <v>42551</v>
      </c>
      <c r="P80" s="2">
        <v>42563</v>
      </c>
      <c r="Q80" s="1" t="s">
        <v>22</v>
      </c>
    </row>
    <row r="81" spans="1:17" x14ac:dyDescent="0.25">
      <c r="A81" s="1" t="s">
        <v>23</v>
      </c>
      <c r="B81" s="1" t="s">
        <v>24</v>
      </c>
      <c r="C81" s="1" t="s">
        <v>60</v>
      </c>
      <c r="D81" s="1" t="s">
        <v>332</v>
      </c>
      <c r="E81" s="1" t="s">
        <v>261</v>
      </c>
      <c r="F81" s="1" t="s">
        <v>19</v>
      </c>
      <c r="G81" s="1" t="s">
        <v>44</v>
      </c>
      <c r="H81" s="1" t="s">
        <v>45</v>
      </c>
      <c r="I81" s="1" t="s">
        <v>21</v>
      </c>
      <c r="J81" s="3">
        <v>-2153</v>
      </c>
      <c r="K81" s="1" t="s">
        <v>67</v>
      </c>
      <c r="L81" s="1" t="s">
        <v>21</v>
      </c>
      <c r="M81" s="1" t="s">
        <v>21</v>
      </c>
      <c r="N81" s="1" t="s">
        <v>60</v>
      </c>
      <c r="O81" s="2">
        <v>42551</v>
      </c>
      <c r="P81" s="2">
        <v>42563</v>
      </c>
      <c r="Q81" s="1" t="s">
        <v>22</v>
      </c>
    </row>
    <row r="82" spans="1:17" x14ac:dyDescent="0.25">
      <c r="A82" s="1" t="s">
        <v>23</v>
      </c>
      <c r="B82" s="1" t="s">
        <v>24</v>
      </c>
      <c r="C82" s="1" t="s">
        <v>60</v>
      </c>
      <c r="D82" s="1" t="s">
        <v>335</v>
      </c>
      <c r="E82" s="1" t="s">
        <v>261</v>
      </c>
      <c r="F82" s="1" t="s">
        <v>19</v>
      </c>
      <c r="G82" s="1" t="s">
        <v>242</v>
      </c>
      <c r="H82" s="1" t="s">
        <v>45</v>
      </c>
      <c r="I82" s="1" t="s">
        <v>21</v>
      </c>
      <c r="J82" s="3">
        <v>4837</v>
      </c>
      <c r="K82" s="1" t="s">
        <v>245</v>
      </c>
      <c r="L82" s="1" t="s">
        <v>21</v>
      </c>
      <c r="M82" s="1" t="s">
        <v>21</v>
      </c>
      <c r="N82" s="1" t="s">
        <v>60</v>
      </c>
      <c r="O82" s="2">
        <v>42551</v>
      </c>
      <c r="P82" s="2">
        <v>42563</v>
      </c>
      <c r="Q82" s="1" t="s">
        <v>22</v>
      </c>
    </row>
    <row r="83" spans="1:17" x14ac:dyDescent="0.25">
      <c r="A83" s="1" t="s">
        <v>23</v>
      </c>
      <c r="B83" s="1" t="s">
        <v>24</v>
      </c>
      <c r="C83" s="1" t="s">
        <v>99</v>
      </c>
      <c r="D83" s="1" t="s">
        <v>326</v>
      </c>
      <c r="E83" s="1" t="s">
        <v>261</v>
      </c>
      <c r="F83" s="1" t="s">
        <v>19</v>
      </c>
      <c r="G83" s="1" t="s">
        <v>49</v>
      </c>
      <c r="H83" s="1" t="s">
        <v>20</v>
      </c>
      <c r="I83" s="1" t="s">
        <v>21</v>
      </c>
      <c r="J83" s="3">
        <v>9181</v>
      </c>
      <c r="K83" s="1" t="s">
        <v>33</v>
      </c>
      <c r="L83" s="1" t="s">
        <v>21</v>
      </c>
      <c r="M83" s="1" t="s">
        <v>21</v>
      </c>
      <c r="N83" s="1" t="s">
        <v>60</v>
      </c>
      <c r="O83" s="2">
        <v>42643</v>
      </c>
      <c r="P83" s="2">
        <v>42655</v>
      </c>
      <c r="Q83" s="1" t="s">
        <v>22</v>
      </c>
    </row>
    <row r="84" spans="1:17" x14ac:dyDescent="0.25">
      <c r="A84" s="1" t="s">
        <v>23</v>
      </c>
      <c r="B84" s="1" t="s">
        <v>24</v>
      </c>
      <c r="C84" s="1" t="s">
        <v>61</v>
      </c>
      <c r="D84" s="1" t="s">
        <v>326</v>
      </c>
      <c r="E84" s="1" t="s">
        <v>261</v>
      </c>
      <c r="F84" s="1" t="s">
        <v>19</v>
      </c>
      <c r="G84" s="1" t="s">
        <v>49</v>
      </c>
      <c r="H84" s="1" t="s">
        <v>20</v>
      </c>
      <c r="I84" s="1" t="s">
        <v>21</v>
      </c>
      <c r="J84" s="3">
        <v>-13771</v>
      </c>
      <c r="K84" s="1" t="s">
        <v>102</v>
      </c>
      <c r="L84" s="1" t="s">
        <v>21</v>
      </c>
      <c r="M84" s="1" t="s">
        <v>21</v>
      </c>
      <c r="N84" s="1" t="s">
        <v>61</v>
      </c>
      <c r="O84" s="2">
        <v>42643</v>
      </c>
      <c r="P84" s="2">
        <v>42655</v>
      </c>
      <c r="Q84" s="1" t="s">
        <v>22</v>
      </c>
    </row>
    <row r="85" spans="1:17" x14ac:dyDescent="0.25">
      <c r="A85" s="1" t="s">
        <v>23</v>
      </c>
      <c r="B85" s="1" t="s">
        <v>24</v>
      </c>
      <c r="C85" s="1" t="s">
        <v>99</v>
      </c>
      <c r="D85" s="1" t="s">
        <v>333</v>
      </c>
      <c r="E85" s="1" t="s">
        <v>261</v>
      </c>
      <c r="F85" s="1" t="s">
        <v>19</v>
      </c>
      <c r="G85" s="1" t="s">
        <v>51</v>
      </c>
      <c r="H85" s="1" t="s">
        <v>45</v>
      </c>
      <c r="I85" s="1" t="s">
        <v>21</v>
      </c>
      <c r="J85" s="3">
        <v>-162</v>
      </c>
      <c r="K85" s="1" t="s">
        <v>33</v>
      </c>
      <c r="L85" s="1" t="s">
        <v>21</v>
      </c>
      <c r="M85" s="1" t="s">
        <v>21</v>
      </c>
      <c r="N85" s="1" t="s">
        <v>60</v>
      </c>
      <c r="O85" s="2">
        <v>42643</v>
      </c>
      <c r="P85" s="2">
        <v>42655</v>
      </c>
      <c r="Q85" s="1" t="s">
        <v>22</v>
      </c>
    </row>
    <row r="86" spans="1:17" x14ac:dyDescent="0.25">
      <c r="A86" s="1" t="s">
        <v>23</v>
      </c>
      <c r="B86" s="1" t="s">
        <v>24</v>
      </c>
      <c r="C86" s="1" t="s">
        <v>99</v>
      </c>
      <c r="D86" s="1" t="s">
        <v>332</v>
      </c>
      <c r="E86" s="1" t="s">
        <v>261</v>
      </c>
      <c r="F86" s="1" t="s">
        <v>19</v>
      </c>
      <c r="G86" s="1" t="s">
        <v>44</v>
      </c>
      <c r="H86" s="1" t="s">
        <v>45</v>
      </c>
      <c r="I86" s="1" t="s">
        <v>21</v>
      </c>
      <c r="J86" s="3">
        <v>2153</v>
      </c>
      <c r="K86" s="1" t="s">
        <v>33</v>
      </c>
      <c r="L86" s="1" t="s">
        <v>21</v>
      </c>
      <c r="M86" s="1" t="s">
        <v>21</v>
      </c>
      <c r="N86" s="1" t="s">
        <v>60</v>
      </c>
      <c r="O86" s="2">
        <v>42643</v>
      </c>
      <c r="P86" s="2">
        <v>42655</v>
      </c>
      <c r="Q86" s="1" t="s">
        <v>22</v>
      </c>
    </row>
    <row r="87" spans="1:17" x14ac:dyDescent="0.25">
      <c r="A87" s="1" t="s">
        <v>23</v>
      </c>
      <c r="B87" s="1" t="s">
        <v>24</v>
      </c>
      <c r="C87" s="1" t="s">
        <v>99</v>
      </c>
      <c r="D87" s="1" t="s">
        <v>335</v>
      </c>
      <c r="E87" s="1" t="s">
        <v>261</v>
      </c>
      <c r="F87" s="1" t="s">
        <v>19</v>
      </c>
      <c r="G87" s="1" t="s">
        <v>242</v>
      </c>
      <c r="H87" s="1" t="s">
        <v>45</v>
      </c>
      <c r="I87" s="1" t="s">
        <v>21</v>
      </c>
      <c r="J87" s="3">
        <v>-4837</v>
      </c>
      <c r="K87" s="1" t="s">
        <v>33</v>
      </c>
      <c r="L87" s="1" t="s">
        <v>21</v>
      </c>
      <c r="M87" s="1" t="s">
        <v>21</v>
      </c>
      <c r="N87" s="1" t="s">
        <v>60</v>
      </c>
      <c r="O87" s="2">
        <v>42643</v>
      </c>
      <c r="P87" s="2">
        <v>42655</v>
      </c>
      <c r="Q87" s="1" t="s">
        <v>22</v>
      </c>
    </row>
    <row r="88" spans="1:17" x14ac:dyDescent="0.25">
      <c r="A88" s="1" t="s">
        <v>23</v>
      </c>
      <c r="B88" s="1" t="s">
        <v>24</v>
      </c>
      <c r="C88" s="1" t="s">
        <v>99</v>
      </c>
      <c r="D88" s="1" t="s">
        <v>324</v>
      </c>
      <c r="E88" s="1" t="s">
        <v>261</v>
      </c>
      <c r="F88" s="1" t="s">
        <v>19</v>
      </c>
      <c r="G88" s="1" t="s">
        <v>41</v>
      </c>
      <c r="H88" s="1" t="s">
        <v>32</v>
      </c>
      <c r="I88" s="1" t="s">
        <v>21</v>
      </c>
      <c r="J88" s="3">
        <v>541</v>
      </c>
      <c r="K88" s="1" t="s">
        <v>33</v>
      </c>
      <c r="L88" s="1" t="s">
        <v>21</v>
      </c>
      <c r="M88" s="1" t="s">
        <v>21</v>
      </c>
      <c r="N88" s="1" t="s">
        <v>60</v>
      </c>
      <c r="O88" s="2">
        <v>42643</v>
      </c>
      <c r="P88" s="2">
        <v>42655</v>
      </c>
      <c r="Q88" s="1" t="s">
        <v>22</v>
      </c>
    </row>
    <row r="89" spans="1:17" x14ac:dyDescent="0.25">
      <c r="A89" s="1" t="s">
        <v>23</v>
      </c>
      <c r="B89" s="1" t="s">
        <v>24</v>
      </c>
      <c r="C89" s="1" t="s">
        <v>99</v>
      </c>
      <c r="D89" s="1" t="s">
        <v>334</v>
      </c>
      <c r="E89" s="1" t="s">
        <v>261</v>
      </c>
      <c r="F89" s="1" t="s">
        <v>19</v>
      </c>
      <c r="G89" s="1" t="s">
        <v>87</v>
      </c>
      <c r="H89" s="1" t="s">
        <v>45</v>
      </c>
      <c r="I89" s="1" t="s">
        <v>21</v>
      </c>
      <c r="J89" s="3">
        <v>-272</v>
      </c>
      <c r="K89" s="1" t="s">
        <v>33</v>
      </c>
      <c r="L89" s="1" t="s">
        <v>21</v>
      </c>
      <c r="M89" s="1" t="s">
        <v>21</v>
      </c>
      <c r="N89" s="1" t="s">
        <v>60</v>
      </c>
      <c r="O89" s="2">
        <v>42643</v>
      </c>
      <c r="P89" s="2">
        <v>42655</v>
      </c>
      <c r="Q89" s="1" t="s">
        <v>22</v>
      </c>
    </row>
    <row r="90" spans="1:17" x14ac:dyDescent="0.25">
      <c r="A90" s="1" t="s">
        <v>23</v>
      </c>
      <c r="B90" s="1" t="s">
        <v>24</v>
      </c>
      <c r="C90" s="1" t="s">
        <v>61</v>
      </c>
      <c r="D90" s="1" t="s">
        <v>334</v>
      </c>
      <c r="E90" s="1" t="s">
        <v>261</v>
      </c>
      <c r="F90" s="1" t="s">
        <v>19</v>
      </c>
      <c r="G90" s="1" t="s">
        <v>87</v>
      </c>
      <c r="H90" s="1" t="s">
        <v>45</v>
      </c>
      <c r="I90" s="1" t="s">
        <v>21</v>
      </c>
      <c r="J90" s="3">
        <v>-90</v>
      </c>
      <c r="K90" s="1" t="s">
        <v>88</v>
      </c>
      <c r="L90" s="1" t="s">
        <v>21</v>
      </c>
      <c r="M90" s="1" t="s">
        <v>21</v>
      </c>
      <c r="N90" s="1" t="s">
        <v>61</v>
      </c>
      <c r="O90" s="2">
        <v>42643</v>
      </c>
      <c r="P90" s="2">
        <v>42655</v>
      </c>
      <c r="Q90" s="1" t="s">
        <v>22</v>
      </c>
    </row>
    <row r="91" spans="1:17" x14ac:dyDescent="0.25">
      <c r="A91" s="1" t="s">
        <v>23</v>
      </c>
      <c r="B91" s="1" t="s">
        <v>24</v>
      </c>
      <c r="C91" s="1" t="s">
        <v>61</v>
      </c>
      <c r="D91" s="1" t="s">
        <v>333</v>
      </c>
      <c r="E91" s="1" t="s">
        <v>261</v>
      </c>
      <c r="F91" s="1" t="s">
        <v>19</v>
      </c>
      <c r="G91" s="1" t="s">
        <v>51</v>
      </c>
      <c r="H91" s="1" t="s">
        <v>45</v>
      </c>
      <c r="I91" s="1" t="s">
        <v>21</v>
      </c>
      <c r="J91" s="3">
        <v>361</v>
      </c>
      <c r="K91" s="1" t="s">
        <v>52</v>
      </c>
      <c r="L91" s="1" t="s">
        <v>21</v>
      </c>
      <c r="M91" s="1" t="s">
        <v>21</v>
      </c>
      <c r="N91" s="1" t="s">
        <v>61</v>
      </c>
      <c r="O91" s="2">
        <v>42643</v>
      </c>
      <c r="P91" s="2">
        <v>42655</v>
      </c>
      <c r="Q91" s="1" t="s">
        <v>22</v>
      </c>
    </row>
    <row r="92" spans="1:17" x14ac:dyDescent="0.25">
      <c r="A92" s="1" t="s">
        <v>23</v>
      </c>
      <c r="B92" s="1" t="s">
        <v>24</v>
      </c>
      <c r="C92" s="1" t="s">
        <v>61</v>
      </c>
      <c r="D92" s="1" t="s">
        <v>332</v>
      </c>
      <c r="E92" s="1" t="s">
        <v>261</v>
      </c>
      <c r="F92" s="1" t="s">
        <v>19</v>
      </c>
      <c r="G92" s="1" t="s">
        <v>44</v>
      </c>
      <c r="H92" s="1" t="s">
        <v>45</v>
      </c>
      <c r="I92" s="1" t="s">
        <v>21</v>
      </c>
      <c r="J92" s="3">
        <v>-3229</v>
      </c>
      <c r="K92" s="1" t="s">
        <v>67</v>
      </c>
      <c r="L92" s="1" t="s">
        <v>21</v>
      </c>
      <c r="M92" s="1" t="s">
        <v>21</v>
      </c>
      <c r="N92" s="1" t="s">
        <v>61</v>
      </c>
      <c r="O92" s="2">
        <v>42643</v>
      </c>
      <c r="P92" s="2">
        <v>42655</v>
      </c>
      <c r="Q92" s="1" t="s">
        <v>22</v>
      </c>
    </row>
    <row r="93" spans="1:17" x14ac:dyDescent="0.25">
      <c r="A93" s="1" t="s">
        <v>23</v>
      </c>
      <c r="B93" s="1" t="s">
        <v>24</v>
      </c>
      <c r="C93" s="1" t="s">
        <v>61</v>
      </c>
      <c r="D93" s="1" t="s">
        <v>335</v>
      </c>
      <c r="E93" s="1" t="s">
        <v>261</v>
      </c>
      <c r="F93" s="1" t="s">
        <v>19</v>
      </c>
      <c r="G93" s="1" t="s">
        <v>242</v>
      </c>
      <c r="H93" s="1" t="s">
        <v>45</v>
      </c>
      <c r="I93" s="1" t="s">
        <v>21</v>
      </c>
      <c r="J93" s="3">
        <v>5053</v>
      </c>
      <c r="K93" s="1" t="s">
        <v>245</v>
      </c>
      <c r="L93" s="1" t="s">
        <v>21</v>
      </c>
      <c r="M93" s="1" t="s">
        <v>21</v>
      </c>
      <c r="N93" s="1" t="s">
        <v>61</v>
      </c>
      <c r="O93" s="2">
        <v>42643</v>
      </c>
      <c r="P93" s="2">
        <v>42655</v>
      </c>
      <c r="Q93" s="1" t="s">
        <v>22</v>
      </c>
    </row>
    <row r="94" spans="1:17" x14ac:dyDescent="0.25">
      <c r="A94" s="1" t="s">
        <v>23</v>
      </c>
      <c r="B94" s="1" t="s">
        <v>24</v>
      </c>
      <c r="C94" s="1" t="s">
        <v>61</v>
      </c>
      <c r="D94" s="1" t="s">
        <v>324</v>
      </c>
      <c r="E94" s="1" t="s">
        <v>261</v>
      </c>
      <c r="F94" s="1" t="s">
        <v>19</v>
      </c>
      <c r="G94" s="1" t="s">
        <v>41</v>
      </c>
      <c r="H94" s="1" t="s">
        <v>32</v>
      </c>
      <c r="I94" s="1" t="s">
        <v>21</v>
      </c>
      <c r="J94" s="3">
        <v>-812</v>
      </c>
      <c r="K94" s="1" t="s">
        <v>117</v>
      </c>
      <c r="L94" s="1" t="s">
        <v>21</v>
      </c>
      <c r="M94" s="1" t="s">
        <v>21</v>
      </c>
      <c r="N94" s="1" t="s">
        <v>61</v>
      </c>
      <c r="O94" s="2">
        <v>42643</v>
      </c>
      <c r="P94" s="2">
        <v>42655</v>
      </c>
      <c r="Q94" s="1" t="s">
        <v>22</v>
      </c>
    </row>
    <row r="95" spans="1:17" x14ac:dyDescent="0.25">
      <c r="A95" s="1" t="s">
        <v>23</v>
      </c>
      <c r="B95" s="1" t="s">
        <v>24</v>
      </c>
      <c r="C95" s="1" t="s">
        <v>61</v>
      </c>
      <c r="D95" s="1" t="s">
        <v>324</v>
      </c>
      <c r="E95" s="1" t="s">
        <v>261</v>
      </c>
      <c r="F95" s="1" t="s">
        <v>19</v>
      </c>
      <c r="G95" s="1" t="s">
        <v>41</v>
      </c>
      <c r="H95" s="1" t="s">
        <v>32</v>
      </c>
      <c r="I95" s="1" t="s">
        <v>21</v>
      </c>
      <c r="J95" s="3">
        <v>137</v>
      </c>
      <c r="K95" s="1" t="s">
        <v>42</v>
      </c>
      <c r="L95" s="1" t="s">
        <v>21</v>
      </c>
      <c r="M95" s="1" t="s">
        <v>21</v>
      </c>
      <c r="N95" s="1" t="s">
        <v>61</v>
      </c>
      <c r="O95" s="2">
        <v>42643</v>
      </c>
      <c r="P95" s="2">
        <v>42655</v>
      </c>
      <c r="Q95" s="1" t="s">
        <v>22</v>
      </c>
    </row>
    <row r="96" spans="1:17" x14ac:dyDescent="0.25">
      <c r="A96" s="1" t="s">
        <v>68</v>
      </c>
      <c r="B96" s="1" t="s">
        <v>24</v>
      </c>
      <c r="C96" s="1" t="s">
        <v>69</v>
      </c>
      <c r="D96" s="1" t="s">
        <v>332</v>
      </c>
      <c r="E96" s="1" t="s">
        <v>261</v>
      </c>
      <c r="F96" s="1" t="s">
        <v>19</v>
      </c>
      <c r="G96" s="1" t="s">
        <v>44</v>
      </c>
      <c r="H96" s="1" t="s">
        <v>45</v>
      </c>
      <c r="I96" s="1" t="s">
        <v>21</v>
      </c>
      <c r="J96" s="3">
        <v>1</v>
      </c>
      <c r="K96" s="1" t="s">
        <v>70</v>
      </c>
      <c r="L96" s="1" t="s">
        <v>21</v>
      </c>
      <c r="M96" s="1" t="s">
        <v>21</v>
      </c>
      <c r="N96" s="1" t="s">
        <v>69</v>
      </c>
      <c r="O96" s="2">
        <v>42704</v>
      </c>
      <c r="P96" s="2">
        <v>42712</v>
      </c>
      <c r="Q96" s="1" t="s">
        <v>22</v>
      </c>
    </row>
    <row r="97" spans="1:17" x14ac:dyDescent="0.25">
      <c r="A97" s="1" t="s">
        <v>68</v>
      </c>
      <c r="B97" s="1" t="s">
        <v>24</v>
      </c>
      <c r="C97" s="1" t="s">
        <v>69</v>
      </c>
      <c r="D97" s="1" t="s">
        <v>324</v>
      </c>
      <c r="E97" s="1" t="s">
        <v>261</v>
      </c>
      <c r="F97" s="1" t="s">
        <v>19</v>
      </c>
      <c r="G97" s="1" t="s">
        <v>41</v>
      </c>
      <c r="H97" s="1" t="s">
        <v>32</v>
      </c>
      <c r="I97" s="1" t="s">
        <v>21</v>
      </c>
      <c r="J97" s="3">
        <v>224</v>
      </c>
      <c r="K97" s="1" t="s">
        <v>348</v>
      </c>
      <c r="L97" s="1" t="s">
        <v>21</v>
      </c>
      <c r="M97" s="1" t="s">
        <v>21</v>
      </c>
      <c r="N97" s="1" t="s">
        <v>69</v>
      </c>
      <c r="O97" s="2">
        <v>42704</v>
      </c>
      <c r="P97" s="2">
        <v>42712</v>
      </c>
      <c r="Q97" s="1" t="s">
        <v>22</v>
      </c>
    </row>
    <row r="98" spans="1:17" x14ac:dyDescent="0.25">
      <c r="A98" s="1" t="s">
        <v>68</v>
      </c>
      <c r="B98" s="1" t="s">
        <v>24</v>
      </c>
      <c r="C98" s="1" t="s">
        <v>100</v>
      </c>
      <c r="D98" s="1" t="s">
        <v>326</v>
      </c>
      <c r="E98" s="1" t="s">
        <v>261</v>
      </c>
      <c r="F98" s="1" t="s">
        <v>19</v>
      </c>
      <c r="G98" s="1" t="s">
        <v>49</v>
      </c>
      <c r="H98" s="1" t="s">
        <v>20</v>
      </c>
      <c r="I98" s="1" t="s">
        <v>21</v>
      </c>
      <c r="J98" s="3">
        <v>-347</v>
      </c>
      <c r="K98" s="1" t="s">
        <v>101</v>
      </c>
      <c r="L98" s="1" t="s">
        <v>21</v>
      </c>
      <c r="M98" s="1" t="s">
        <v>21</v>
      </c>
      <c r="N98" s="1" t="s">
        <v>100</v>
      </c>
      <c r="O98" s="2">
        <v>42735</v>
      </c>
      <c r="P98" s="2">
        <v>42741</v>
      </c>
      <c r="Q98" s="1" t="s">
        <v>22</v>
      </c>
    </row>
    <row r="99" spans="1:17" x14ac:dyDescent="0.25">
      <c r="A99" s="1" t="s">
        <v>23</v>
      </c>
      <c r="B99" s="1" t="s">
        <v>24</v>
      </c>
      <c r="C99" s="1" t="s">
        <v>25</v>
      </c>
      <c r="D99" s="1" t="s">
        <v>326</v>
      </c>
      <c r="E99" s="1" t="s">
        <v>261</v>
      </c>
      <c r="F99" s="1" t="s">
        <v>19</v>
      </c>
      <c r="G99" s="1" t="s">
        <v>49</v>
      </c>
      <c r="H99" s="1" t="s">
        <v>20</v>
      </c>
      <c r="I99" s="1" t="s">
        <v>21</v>
      </c>
      <c r="J99" s="3">
        <v>-18360</v>
      </c>
      <c r="K99" s="1" t="s">
        <v>102</v>
      </c>
      <c r="L99" s="1" t="s">
        <v>21</v>
      </c>
      <c r="M99" s="1" t="s">
        <v>21</v>
      </c>
      <c r="N99" s="1" t="s">
        <v>25</v>
      </c>
      <c r="O99" s="2">
        <v>42735</v>
      </c>
      <c r="P99" s="2">
        <v>42759</v>
      </c>
      <c r="Q99" s="1" t="s">
        <v>22</v>
      </c>
    </row>
    <row r="100" spans="1:17" x14ac:dyDescent="0.25">
      <c r="A100" s="1" t="s">
        <v>68</v>
      </c>
      <c r="B100" s="1" t="s">
        <v>24</v>
      </c>
      <c r="C100" s="1" t="s">
        <v>96</v>
      </c>
      <c r="D100" s="1" t="s">
        <v>326</v>
      </c>
      <c r="E100" s="1" t="s">
        <v>261</v>
      </c>
      <c r="F100" s="1" t="s">
        <v>19</v>
      </c>
      <c r="G100" s="1" t="s">
        <v>49</v>
      </c>
      <c r="H100" s="1" t="s">
        <v>20</v>
      </c>
      <c r="I100" s="1" t="s">
        <v>21</v>
      </c>
      <c r="J100" s="3">
        <v>694</v>
      </c>
      <c r="K100" s="1" t="s">
        <v>349</v>
      </c>
      <c r="L100" s="1" t="s">
        <v>21</v>
      </c>
      <c r="M100" s="1" t="s">
        <v>21</v>
      </c>
      <c r="N100" s="1" t="s">
        <v>96</v>
      </c>
      <c r="O100" s="2">
        <v>42735</v>
      </c>
      <c r="P100" s="2">
        <v>42759</v>
      </c>
      <c r="Q100" s="1" t="s">
        <v>22</v>
      </c>
    </row>
    <row r="101" spans="1:17" x14ac:dyDescent="0.25">
      <c r="A101" s="1" t="s">
        <v>23</v>
      </c>
      <c r="B101" s="1" t="s">
        <v>24</v>
      </c>
      <c r="C101" s="1" t="s">
        <v>25</v>
      </c>
      <c r="D101" s="1" t="s">
        <v>331</v>
      </c>
      <c r="E101" s="1" t="s">
        <v>261</v>
      </c>
      <c r="F101" s="1" t="s">
        <v>19</v>
      </c>
      <c r="G101" s="1" t="s">
        <v>50</v>
      </c>
      <c r="H101" s="1" t="s">
        <v>45</v>
      </c>
      <c r="I101" s="1" t="s">
        <v>21</v>
      </c>
      <c r="J101" s="3">
        <v>-30328</v>
      </c>
      <c r="K101" s="1" t="s">
        <v>93</v>
      </c>
      <c r="L101" s="1" t="s">
        <v>21</v>
      </c>
      <c r="M101" s="1" t="s">
        <v>21</v>
      </c>
      <c r="N101" s="1" t="s">
        <v>25</v>
      </c>
      <c r="O101" s="2">
        <v>42735</v>
      </c>
      <c r="P101" s="2">
        <v>42759</v>
      </c>
      <c r="Q101" s="1" t="s">
        <v>22</v>
      </c>
    </row>
    <row r="102" spans="1:17" x14ac:dyDescent="0.25">
      <c r="A102" s="1" t="s">
        <v>23</v>
      </c>
      <c r="B102" s="1" t="s">
        <v>24</v>
      </c>
      <c r="C102" s="1" t="s">
        <v>82</v>
      </c>
      <c r="D102" s="1" t="s">
        <v>326</v>
      </c>
      <c r="E102" s="1" t="s">
        <v>261</v>
      </c>
      <c r="F102" s="1" t="s">
        <v>19</v>
      </c>
      <c r="G102" s="1" t="s">
        <v>49</v>
      </c>
      <c r="H102" s="1" t="s">
        <v>20</v>
      </c>
      <c r="I102" s="1" t="s">
        <v>21</v>
      </c>
      <c r="J102" s="3">
        <v>13771</v>
      </c>
      <c r="K102" s="1" t="s">
        <v>78</v>
      </c>
      <c r="L102" s="1" t="s">
        <v>21</v>
      </c>
      <c r="M102" s="1" t="s">
        <v>21</v>
      </c>
      <c r="N102" s="1" t="s">
        <v>61</v>
      </c>
      <c r="O102" s="2">
        <v>42735</v>
      </c>
      <c r="P102" s="2">
        <v>42747</v>
      </c>
      <c r="Q102" s="1" t="s">
        <v>22</v>
      </c>
    </row>
    <row r="103" spans="1:17" x14ac:dyDescent="0.25">
      <c r="A103" s="1" t="s">
        <v>17</v>
      </c>
      <c r="B103" s="1" t="s">
        <v>261</v>
      </c>
      <c r="C103" s="1" t="s">
        <v>350</v>
      </c>
      <c r="D103" s="1" t="s">
        <v>324</v>
      </c>
      <c r="E103" s="1" t="s">
        <v>261</v>
      </c>
      <c r="F103" s="1" t="s">
        <v>19</v>
      </c>
      <c r="G103" s="1" t="s">
        <v>41</v>
      </c>
      <c r="H103" s="1" t="s">
        <v>32</v>
      </c>
      <c r="I103" s="1" t="s">
        <v>21</v>
      </c>
      <c r="J103" s="3">
        <v>0</v>
      </c>
      <c r="K103" s="1" t="s">
        <v>342</v>
      </c>
      <c r="L103" s="1" t="s">
        <v>21</v>
      </c>
      <c r="M103" s="1" t="s">
        <v>21</v>
      </c>
      <c r="N103" s="1" t="s">
        <v>350</v>
      </c>
      <c r="O103" s="2">
        <v>42735</v>
      </c>
      <c r="P103" s="2">
        <v>42759</v>
      </c>
      <c r="Q103" s="1" t="s">
        <v>22</v>
      </c>
    </row>
    <row r="104" spans="1:17" x14ac:dyDescent="0.25">
      <c r="A104" s="1" t="s">
        <v>17</v>
      </c>
      <c r="B104" s="1" t="s">
        <v>261</v>
      </c>
      <c r="C104" s="1" t="s">
        <v>350</v>
      </c>
      <c r="D104" s="1" t="s">
        <v>324</v>
      </c>
      <c r="E104" s="1" t="s">
        <v>261</v>
      </c>
      <c r="F104" s="1" t="s">
        <v>19</v>
      </c>
      <c r="G104" s="1" t="s">
        <v>41</v>
      </c>
      <c r="H104" s="1" t="s">
        <v>32</v>
      </c>
      <c r="I104" s="1" t="s">
        <v>21</v>
      </c>
      <c r="J104" s="3">
        <v>0</v>
      </c>
      <c r="K104" s="1" t="s">
        <v>343</v>
      </c>
      <c r="L104" s="1" t="s">
        <v>21</v>
      </c>
      <c r="M104" s="1" t="s">
        <v>21</v>
      </c>
      <c r="N104" s="1" t="s">
        <v>350</v>
      </c>
      <c r="O104" s="2">
        <v>42735</v>
      </c>
      <c r="P104" s="2">
        <v>42759</v>
      </c>
      <c r="Q104" s="1" t="s">
        <v>22</v>
      </c>
    </row>
    <row r="105" spans="1:17" x14ac:dyDescent="0.25">
      <c r="A105" s="1" t="s">
        <v>17</v>
      </c>
      <c r="B105" s="1" t="s">
        <v>261</v>
      </c>
      <c r="C105" s="1" t="s">
        <v>350</v>
      </c>
      <c r="D105" s="1" t="s">
        <v>324</v>
      </c>
      <c r="E105" s="1" t="s">
        <v>261</v>
      </c>
      <c r="F105" s="1" t="s">
        <v>19</v>
      </c>
      <c r="G105" s="1" t="s">
        <v>41</v>
      </c>
      <c r="H105" s="1" t="s">
        <v>32</v>
      </c>
      <c r="I105" s="1" t="s">
        <v>21</v>
      </c>
      <c r="J105" s="3">
        <v>0</v>
      </c>
      <c r="K105" s="1" t="s">
        <v>342</v>
      </c>
      <c r="L105" s="1" t="s">
        <v>21</v>
      </c>
      <c r="M105" s="1" t="s">
        <v>21</v>
      </c>
      <c r="N105" s="1" t="s">
        <v>350</v>
      </c>
      <c r="O105" s="2">
        <v>42735</v>
      </c>
      <c r="P105" s="2">
        <v>42759</v>
      </c>
      <c r="Q105" s="1" t="s">
        <v>22</v>
      </c>
    </row>
    <row r="106" spans="1:17" x14ac:dyDescent="0.25">
      <c r="A106" s="1" t="s">
        <v>17</v>
      </c>
      <c r="B106" s="1" t="s">
        <v>261</v>
      </c>
      <c r="C106" s="1" t="s">
        <v>350</v>
      </c>
      <c r="D106" s="1" t="s">
        <v>324</v>
      </c>
      <c r="E106" s="1" t="s">
        <v>261</v>
      </c>
      <c r="F106" s="1" t="s">
        <v>19</v>
      </c>
      <c r="G106" s="1" t="s">
        <v>41</v>
      </c>
      <c r="H106" s="1" t="s">
        <v>32</v>
      </c>
      <c r="I106" s="1" t="s">
        <v>21</v>
      </c>
      <c r="J106" s="3">
        <v>0</v>
      </c>
      <c r="K106" s="1" t="s">
        <v>342</v>
      </c>
      <c r="L106" s="1" t="s">
        <v>21</v>
      </c>
      <c r="M106" s="1" t="s">
        <v>21</v>
      </c>
      <c r="N106" s="1" t="s">
        <v>350</v>
      </c>
      <c r="O106" s="2">
        <v>42735</v>
      </c>
      <c r="P106" s="2">
        <v>42759</v>
      </c>
      <c r="Q106" s="1" t="s">
        <v>22</v>
      </c>
    </row>
    <row r="107" spans="1:17" x14ac:dyDescent="0.25">
      <c r="A107" s="1" t="s">
        <v>23</v>
      </c>
      <c r="B107" s="1" t="s">
        <v>24</v>
      </c>
      <c r="C107" s="1" t="s">
        <v>25</v>
      </c>
      <c r="D107" s="1" t="s">
        <v>334</v>
      </c>
      <c r="E107" s="1" t="s">
        <v>261</v>
      </c>
      <c r="F107" s="1" t="s">
        <v>19</v>
      </c>
      <c r="G107" s="1" t="s">
        <v>87</v>
      </c>
      <c r="H107" s="1" t="s">
        <v>45</v>
      </c>
      <c r="I107" s="1" t="s">
        <v>21</v>
      </c>
      <c r="J107" s="3">
        <v>-83</v>
      </c>
      <c r="K107" s="1" t="s">
        <v>88</v>
      </c>
      <c r="L107" s="1" t="s">
        <v>21</v>
      </c>
      <c r="M107" s="1" t="s">
        <v>21</v>
      </c>
      <c r="N107" s="1" t="s">
        <v>25</v>
      </c>
      <c r="O107" s="2">
        <v>42735</v>
      </c>
      <c r="P107" s="2">
        <v>42759</v>
      </c>
      <c r="Q107" s="1" t="s">
        <v>22</v>
      </c>
    </row>
    <row r="108" spans="1:17" x14ac:dyDescent="0.25">
      <c r="A108" s="1" t="s">
        <v>17</v>
      </c>
      <c r="B108" s="1" t="s">
        <v>261</v>
      </c>
      <c r="C108" s="1" t="s">
        <v>350</v>
      </c>
      <c r="D108" s="1" t="s">
        <v>344</v>
      </c>
      <c r="E108" s="1" t="s">
        <v>261</v>
      </c>
      <c r="F108" s="1" t="s">
        <v>19</v>
      </c>
      <c r="G108" s="1" t="s">
        <v>127</v>
      </c>
      <c r="H108" s="1" t="s">
        <v>32</v>
      </c>
      <c r="I108" s="1" t="s">
        <v>21</v>
      </c>
      <c r="J108" s="3">
        <v>8</v>
      </c>
      <c r="K108" s="1" t="s">
        <v>342</v>
      </c>
      <c r="L108" s="1" t="s">
        <v>21</v>
      </c>
      <c r="M108" s="1" t="s">
        <v>21</v>
      </c>
      <c r="N108" s="1" t="s">
        <v>350</v>
      </c>
      <c r="O108" s="2">
        <v>42735</v>
      </c>
      <c r="P108" s="2">
        <v>42759</v>
      </c>
      <c r="Q108" s="1" t="s">
        <v>22</v>
      </c>
    </row>
    <row r="109" spans="1:17" x14ac:dyDescent="0.25">
      <c r="A109" s="1" t="s">
        <v>17</v>
      </c>
      <c r="B109" s="1" t="s">
        <v>261</v>
      </c>
      <c r="C109" s="1" t="s">
        <v>350</v>
      </c>
      <c r="D109" s="1" t="s">
        <v>345</v>
      </c>
      <c r="E109" s="1" t="s">
        <v>261</v>
      </c>
      <c r="F109" s="1" t="s">
        <v>19</v>
      </c>
      <c r="G109" s="1" t="s">
        <v>123</v>
      </c>
      <c r="H109" s="1" t="s">
        <v>20</v>
      </c>
      <c r="I109" s="1" t="s">
        <v>21</v>
      </c>
      <c r="J109" s="3">
        <v>0</v>
      </c>
      <c r="K109" s="1" t="s">
        <v>342</v>
      </c>
      <c r="L109" s="1" t="s">
        <v>21</v>
      </c>
      <c r="M109" s="1" t="s">
        <v>21</v>
      </c>
      <c r="N109" s="1" t="s">
        <v>350</v>
      </c>
      <c r="O109" s="2">
        <v>42735</v>
      </c>
      <c r="P109" s="2">
        <v>42759</v>
      </c>
      <c r="Q109" s="1" t="s">
        <v>22</v>
      </c>
    </row>
    <row r="110" spans="1:17" x14ac:dyDescent="0.25">
      <c r="A110" s="1" t="s">
        <v>17</v>
      </c>
      <c r="B110" s="1" t="s">
        <v>261</v>
      </c>
      <c r="C110" s="1" t="s">
        <v>350</v>
      </c>
      <c r="D110" s="1" t="s">
        <v>324</v>
      </c>
      <c r="E110" s="1" t="s">
        <v>261</v>
      </c>
      <c r="F110" s="1" t="s">
        <v>19</v>
      </c>
      <c r="G110" s="1" t="s">
        <v>41</v>
      </c>
      <c r="H110" s="1" t="s">
        <v>32</v>
      </c>
      <c r="I110" s="1" t="s">
        <v>21</v>
      </c>
      <c r="J110" s="3">
        <v>0</v>
      </c>
      <c r="K110" s="1" t="s">
        <v>339</v>
      </c>
      <c r="L110" s="1" t="s">
        <v>21</v>
      </c>
      <c r="M110" s="1" t="s">
        <v>21</v>
      </c>
      <c r="N110" s="1" t="s">
        <v>350</v>
      </c>
      <c r="O110" s="2">
        <v>42735</v>
      </c>
      <c r="P110" s="2">
        <v>42759</v>
      </c>
      <c r="Q110" s="1" t="s">
        <v>22</v>
      </c>
    </row>
    <row r="111" spans="1:17" x14ac:dyDescent="0.25">
      <c r="A111" s="1" t="s">
        <v>23</v>
      </c>
      <c r="B111" s="1" t="s">
        <v>24</v>
      </c>
      <c r="C111" s="1" t="s">
        <v>25</v>
      </c>
      <c r="D111" s="1" t="s">
        <v>333</v>
      </c>
      <c r="E111" s="1" t="s">
        <v>261</v>
      </c>
      <c r="F111" s="1" t="s">
        <v>19</v>
      </c>
      <c r="G111" s="1" t="s">
        <v>51</v>
      </c>
      <c r="H111" s="1" t="s">
        <v>45</v>
      </c>
      <c r="I111" s="1" t="s">
        <v>21</v>
      </c>
      <c r="J111" s="3">
        <v>143</v>
      </c>
      <c r="K111" s="1" t="s">
        <v>52</v>
      </c>
      <c r="L111" s="1" t="s">
        <v>21</v>
      </c>
      <c r="M111" s="1" t="s">
        <v>21</v>
      </c>
      <c r="N111" s="1" t="s">
        <v>25</v>
      </c>
      <c r="O111" s="2">
        <v>42735</v>
      </c>
      <c r="P111" s="2">
        <v>42759</v>
      </c>
      <c r="Q111" s="1" t="s">
        <v>22</v>
      </c>
    </row>
    <row r="112" spans="1:17" x14ac:dyDescent="0.25">
      <c r="A112" s="1" t="s">
        <v>23</v>
      </c>
      <c r="B112" s="1" t="s">
        <v>24</v>
      </c>
      <c r="C112" s="1" t="s">
        <v>25</v>
      </c>
      <c r="D112" s="1" t="s">
        <v>335</v>
      </c>
      <c r="E112" s="1" t="s">
        <v>261</v>
      </c>
      <c r="F112" s="1" t="s">
        <v>19</v>
      </c>
      <c r="G112" s="1" t="s">
        <v>242</v>
      </c>
      <c r="H112" s="1" t="s">
        <v>45</v>
      </c>
      <c r="I112" s="1" t="s">
        <v>21</v>
      </c>
      <c r="J112" s="3">
        <v>7466</v>
      </c>
      <c r="K112" s="1" t="s">
        <v>245</v>
      </c>
      <c r="L112" s="1" t="s">
        <v>21</v>
      </c>
      <c r="M112" s="1" t="s">
        <v>21</v>
      </c>
      <c r="N112" s="1" t="s">
        <v>25</v>
      </c>
      <c r="O112" s="2">
        <v>42735</v>
      </c>
      <c r="P112" s="2">
        <v>42759</v>
      </c>
      <c r="Q112" s="1" t="s">
        <v>22</v>
      </c>
    </row>
    <row r="113" spans="1:17" x14ac:dyDescent="0.25">
      <c r="A113" s="1" t="s">
        <v>23</v>
      </c>
      <c r="B113" s="1" t="s">
        <v>24</v>
      </c>
      <c r="C113" s="1" t="s">
        <v>82</v>
      </c>
      <c r="D113" s="1" t="s">
        <v>333</v>
      </c>
      <c r="E113" s="1" t="s">
        <v>261</v>
      </c>
      <c r="F113" s="1" t="s">
        <v>19</v>
      </c>
      <c r="G113" s="1" t="s">
        <v>51</v>
      </c>
      <c r="H113" s="1" t="s">
        <v>45</v>
      </c>
      <c r="I113" s="1" t="s">
        <v>21</v>
      </c>
      <c r="J113" s="3">
        <v>-361</v>
      </c>
      <c r="K113" s="1" t="s">
        <v>78</v>
      </c>
      <c r="L113" s="1" t="s">
        <v>21</v>
      </c>
      <c r="M113" s="1" t="s">
        <v>21</v>
      </c>
      <c r="N113" s="1" t="s">
        <v>61</v>
      </c>
      <c r="O113" s="2">
        <v>42735</v>
      </c>
      <c r="P113" s="2">
        <v>42747</v>
      </c>
      <c r="Q113" s="1" t="s">
        <v>22</v>
      </c>
    </row>
    <row r="114" spans="1:17" x14ac:dyDescent="0.25">
      <c r="A114" s="1" t="s">
        <v>23</v>
      </c>
      <c r="B114" s="1" t="s">
        <v>24</v>
      </c>
      <c r="C114" s="1" t="s">
        <v>82</v>
      </c>
      <c r="D114" s="1" t="s">
        <v>332</v>
      </c>
      <c r="E114" s="1" t="s">
        <v>261</v>
      </c>
      <c r="F114" s="1" t="s">
        <v>19</v>
      </c>
      <c r="G114" s="1" t="s">
        <v>44</v>
      </c>
      <c r="H114" s="1" t="s">
        <v>45</v>
      </c>
      <c r="I114" s="1" t="s">
        <v>21</v>
      </c>
      <c r="J114" s="3">
        <v>3229</v>
      </c>
      <c r="K114" s="1" t="s">
        <v>78</v>
      </c>
      <c r="L114" s="1" t="s">
        <v>21</v>
      </c>
      <c r="M114" s="1" t="s">
        <v>21</v>
      </c>
      <c r="N114" s="1" t="s">
        <v>61</v>
      </c>
      <c r="O114" s="2">
        <v>42735</v>
      </c>
      <c r="P114" s="2">
        <v>42747</v>
      </c>
      <c r="Q114" s="1" t="s">
        <v>22</v>
      </c>
    </row>
    <row r="115" spans="1:17" x14ac:dyDescent="0.25">
      <c r="A115" s="1" t="s">
        <v>23</v>
      </c>
      <c r="B115" s="1" t="s">
        <v>24</v>
      </c>
      <c r="C115" s="1" t="s">
        <v>82</v>
      </c>
      <c r="D115" s="1" t="s">
        <v>335</v>
      </c>
      <c r="E115" s="1" t="s">
        <v>261</v>
      </c>
      <c r="F115" s="1" t="s">
        <v>19</v>
      </c>
      <c r="G115" s="1" t="s">
        <v>242</v>
      </c>
      <c r="H115" s="1" t="s">
        <v>45</v>
      </c>
      <c r="I115" s="1" t="s">
        <v>21</v>
      </c>
      <c r="J115" s="3">
        <v>-5053</v>
      </c>
      <c r="K115" s="1" t="s">
        <v>78</v>
      </c>
      <c r="L115" s="1" t="s">
        <v>21</v>
      </c>
      <c r="M115" s="1" t="s">
        <v>21</v>
      </c>
      <c r="N115" s="1" t="s">
        <v>61</v>
      </c>
      <c r="O115" s="2">
        <v>42735</v>
      </c>
      <c r="P115" s="2">
        <v>42747</v>
      </c>
      <c r="Q115" s="1" t="s">
        <v>22</v>
      </c>
    </row>
    <row r="116" spans="1:17" x14ac:dyDescent="0.25">
      <c r="A116" s="1" t="s">
        <v>23</v>
      </c>
      <c r="B116" s="1" t="s">
        <v>24</v>
      </c>
      <c r="C116" s="1" t="s">
        <v>82</v>
      </c>
      <c r="D116" s="1" t="s">
        <v>324</v>
      </c>
      <c r="E116" s="1" t="s">
        <v>261</v>
      </c>
      <c r="F116" s="1" t="s">
        <v>19</v>
      </c>
      <c r="G116" s="1" t="s">
        <v>41</v>
      </c>
      <c r="H116" s="1" t="s">
        <v>32</v>
      </c>
      <c r="I116" s="1" t="s">
        <v>21</v>
      </c>
      <c r="J116" s="3">
        <v>812</v>
      </c>
      <c r="K116" s="1" t="s">
        <v>78</v>
      </c>
      <c r="L116" s="1" t="s">
        <v>21</v>
      </c>
      <c r="M116" s="1" t="s">
        <v>21</v>
      </c>
      <c r="N116" s="1" t="s">
        <v>61</v>
      </c>
      <c r="O116" s="2">
        <v>42735</v>
      </c>
      <c r="P116" s="2">
        <v>42747</v>
      </c>
      <c r="Q116" s="1" t="s">
        <v>22</v>
      </c>
    </row>
    <row r="117" spans="1:17" x14ac:dyDescent="0.25">
      <c r="A117" s="1" t="s">
        <v>23</v>
      </c>
      <c r="B117" s="1" t="s">
        <v>24</v>
      </c>
      <c r="C117" s="1" t="s">
        <v>82</v>
      </c>
      <c r="D117" s="1" t="s">
        <v>324</v>
      </c>
      <c r="E117" s="1" t="s">
        <v>261</v>
      </c>
      <c r="F117" s="1" t="s">
        <v>19</v>
      </c>
      <c r="G117" s="1" t="s">
        <v>41</v>
      </c>
      <c r="H117" s="1" t="s">
        <v>32</v>
      </c>
      <c r="I117" s="1" t="s">
        <v>21</v>
      </c>
      <c r="J117" s="3">
        <v>-137</v>
      </c>
      <c r="K117" s="1" t="s">
        <v>78</v>
      </c>
      <c r="L117" s="1" t="s">
        <v>21</v>
      </c>
      <c r="M117" s="1" t="s">
        <v>21</v>
      </c>
      <c r="N117" s="1" t="s">
        <v>61</v>
      </c>
      <c r="O117" s="2">
        <v>42735</v>
      </c>
      <c r="P117" s="2">
        <v>42747</v>
      </c>
      <c r="Q117" s="1" t="s">
        <v>22</v>
      </c>
    </row>
    <row r="118" spans="1:17" x14ac:dyDescent="0.25">
      <c r="A118" s="1" t="s">
        <v>23</v>
      </c>
      <c r="B118" s="1" t="s">
        <v>24</v>
      </c>
      <c r="C118" s="1" t="s">
        <v>82</v>
      </c>
      <c r="D118" s="1" t="s">
        <v>334</v>
      </c>
      <c r="E118" s="1" t="s">
        <v>261</v>
      </c>
      <c r="F118" s="1" t="s">
        <v>19</v>
      </c>
      <c r="G118" s="1" t="s">
        <v>87</v>
      </c>
      <c r="H118" s="1" t="s">
        <v>45</v>
      </c>
      <c r="I118" s="1" t="s">
        <v>21</v>
      </c>
      <c r="J118" s="3">
        <v>90</v>
      </c>
      <c r="K118" s="1" t="s">
        <v>78</v>
      </c>
      <c r="L118" s="1" t="s">
        <v>21</v>
      </c>
      <c r="M118" s="1" t="s">
        <v>21</v>
      </c>
      <c r="N118" s="1" t="s">
        <v>61</v>
      </c>
      <c r="O118" s="2">
        <v>42735</v>
      </c>
      <c r="P118" s="2">
        <v>42747</v>
      </c>
      <c r="Q118" s="1" t="s">
        <v>22</v>
      </c>
    </row>
    <row r="119" spans="1:17" x14ac:dyDescent="0.25">
      <c r="A119" s="1" t="s">
        <v>23</v>
      </c>
      <c r="B119" s="1" t="s">
        <v>24</v>
      </c>
      <c r="C119" s="1" t="s">
        <v>25</v>
      </c>
      <c r="D119" s="1" t="s">
        <v>324</v>
      </c>
      <c r="E119" s="1" t="s">
        <v>261</v>
      </c>
      <c r="F119" s="1" t="s">
        <v>19</v>
      </c>
      <c r="G119" s="1" t="s">
        <v>41</v>
      </c>
      <c r="H119" s="1" t="s">
        <v>32</v>
      </c>
      <c r="I119" s="1" t="s">
        <v>21</v>
      </c>
      <c r="J119" s="3">
        <v>-53423</v>
      </c>
      <c r="K119" s="1" t="s">
        <v>117</v>
      </c>
      <c r="L119" s="1" t="s">
        <v>21</v>
      </c>
      <c r="M119" s="1" t="s">
        <v>21</v>
      </c>
      <c r="N119" s="1" t="s">
        <v>25</v>
      </c>
      <c r="O119" s="2">
        <v>42735</v>
      </c>
      <c r="P119" s="2">
        <v>42759</v>
      </c>
      <c r="Q119" s="1" t="s">
        <v>22</v>
      </c>
    </row>
    <row r="120" spans="1:17" x14ac:dyDescent="0.25">
      <c r="A120" s="1" t="s">
        <v>68</v>
      </c>
      <c r="B120" s="1" t="s">
        <v>24</v>
      </c>
      <c r="C120" s="1" t="s">
        <v>109</v>
      </c>
      <c r="D120" s="1" t="s">
        <v>333</v>
      </c>
      <c r="E120" s="1" t="s">
        <v>261</v>
      </c>
      <c r="F120" s="1" t="s">
        <v>19</v>
      </c>
      <c r="G120" s="1" t="s">
        <v>51</v>
      </c>
      <c r="H120" s="1" t="s">
        <v>45</v>
      </c>
      <c r="I120" s="1" t="s">
        <v>21</v>
      </c>
      <c r="J120" s="3">
        <v>-1</v>
      </c>
      <c r="K120" s="1" t="s">
        <v>114</v>
      </c>
      <c r="L120" s="1" t="s">
        <v>21</v>
      </c>
      <c r="M120" s="1" t="s">
        <v>21</v>
      </c>
      <c r="N120" s="1" t="s">
        <v>109</v>
      </c>
      <c r="O120" s="2">
        <v>42735</v>
      </c>
      <c r="P120" s="2">
        <v>42744</v>
      </c>
      <c r="Q120" s="1" t="s">
        <v>22</v>
      </c>
    </row>
    <row r="121" spans="1:17" x14ac:dyDescent="0.25">
      <c r="A121" s="1" t="s">
        <v>68</v>
      </c>
      <c r="B121" s="1" t="s">
        <v>24</v>
      </c>
      <c r="C121" s="1" t="s">
        <v>109</v>
      </c>
      <c r="D121" s="1" t="s">
        <v>333</v>
      </c>
      <c r="E121" s="1" t="s">
        <v>261</v>
      </c>
      <c r="F121" s="1" t="s">
        <v>19</v>
      </c>
      <c r="G121" s="1" t="s">
        <v>51</v>
      </c>
      <c r="H121" s="1" t="s">
        <v>45</v>
      </c>
      <c r="I121" s="1" t="s">
        <v>21</v>
      </c>
      <c r="J121" s="3">
        <v>-136</v>
      </c>
      <c r="K121" s="1" t="s">
        <v>114</v>
      </c>
      <c r="L121" s="1" t="s">
        <v>21</v>
      </c>
      <c r="M121" s="1" t="s">
        <v>21</v>
      </c>
      <c r="N121" s="1" t="s">
        <v>109</v>
      </c>
      <c r="O121" s="2">
        <v>42735</v>
      </c>
      <c r="P121" s="2">
        <v>42744</v>
      </c>
      <c r="Q121" s="1" t="s">
        <v>22</v>
      </c>
    </row>
    <row r="122" spans="1:17" x14ac:dyDescent="0.25">
      <c r="A122" s="1" t="s">
        <v>17</v>
      </c>
      <c r="B122" s="1" t="s">
        <v>261</v>
      </c>
      <c r="C122" s="1" t="s">
        <v>350</v>
      </c>
      <c r="D122" s="1" t="s">
        <v>324</v>
      </c>
      <c r="E122" s="1" t="s">
        <v>261</v>
      </c>
      <c r="F122" s="1" t="s">
        <v>19</v>
      </c>
      <c r="G122" s="1" t="s">
        <v>41</v>
      </c>
      <c r="H122" s="1" t="s">
        <v>32</v>
      </c>
      <c r="I122" s="1" t="s">
        <v>21</v>
      </c>
      <c r="J122" s="3">
        <v>0</v>
      </c>
      <c r="K122" s="1" t="s">
        <v>340</v>
      </c>
      <c r="L122" s="1" t="s">
        <v>21</v>
      </c>
      <c r="M122" s="1" t="s">
        <v>21</v>
      </c>
      <c r="N122" s="1" t="s">
        <v>350</v>
      </c>
      <c r="O122" s="2">
        <v>42735</v>
      </c>
      <c r="P122" s="2">
        <v>42759</v>
      </c>
      <c r="Q122" s="1" t="s">
        <v>22</v>
      </c>
    </row>
    <row r="123" spans="1:17" x14ac:dyDescent="0.25">
      <c r="A123" s="1" t="s">
        <v>17</v>
      </c>
      <c r="B123" s="1" t="s">
        <v>261</v>
      </c>
      <c r="C123" s="1" t="s">
        <v>351</v>
      </c>
      <c r="D123" s="1" t="s">
        <v>344</v>
      </c>
      <c r="E123" s="1" t="s">
        <v>261</v>
      </c>
      <c r="F123" s="1" t="s">
        <v>19</v>
      </c>
      <c r="G123" s="1" t="s">
        <v>127</v>
      </c>
      <c r="H123" s="1" t="s">
        <v>32</v>
      </c>
      <c r="I123" s="1" t="s">
        <v>21</v>
      </c>
      <c r="J123" s="3">
        <v>-151</v>
      </c>
      <c r="K123" s="1" t="s">
        <v>346</v>
      </c>
      <c r="L123" s="1" t="s">
        <v>21</v>
      </c>
      <c r="M123" s="1" t="s">
        <v>21</v>
      </c>
      <c r="N123" s="1" t="s">
        <v>351</v>
      </c>
      <c r="O123" s="2">
        <v>42735</v>
      </c>
      <c r="P123" s="2">
        <v>42759</v>
      </c>
      <c r="Q123" s="1" t="s">
        <v>22</v>
      </c>
    </row>
    <row r="124" spans="1:17" x14ac:dyDescent="0.25">
      <c r="A124" s="1" t="s">
        <v>17</v>
      </c>
      <c r="B124" s="1" t="s">
        <v>261</v>
      </c>
      <c r="C124" s="1" t="s">
        <v>350</v>
      </c>
      <c r="D124" s="1" t="s">
        <v>344</v>
      </c>
      <c r="E124" s="1" t="s">
        <v>261</v>
      </c>
      <c r="F124" s="1" t="s">
        <v>19</v>
      </c>
      <c r="G124" s="1" t="s">
        <v>127</v>
      </c>
      <c r="H124" s="1" t="s">
        <v>32</v>
      </c>
      <c r="I124" s="1" t="s">
        <v>21</v>
      </c>
      <c r="J124" s="3">
        <v>-24</v>
      </c>
      <c r="K124" s="1" t="s">
        <v>346</v>
      </c>
      <c r="L124" s="1" t="s">
        <v>21</v>
      </c>
      <c r="M124" s="1" t="s">
        <v>21</v>
      </c>
      <c r="N124" s="1" t="s">
        <v>350</v>
      </c>
      <c r="O124" s="2">
        <v>42735</v>
      </c>
      <c r="P124" s="2">
        <v>42759</v>
      </c>
      <c r="Q124" s="1" t="s">
        <v>22</v>
      </c>
    </row>
    <row r="125" spans="1:17" x14ac:dyDescent="0.25">
      <c r="A125" s="1" t="s">
        <v>68</v>
      </c>
      <c r="B125" s="1" t="s">
        <v>24</v>
      </c>
      <c r="C125" s="1" t="s">
        <v>100</v>
      </c>
      <c r="D125" s="1" t="s">
        <v>352</v>
      </c>
      <c r="E125" s="1" t="s">
        <v>261</v>
      </c>
      <c r="F125" s="1" t="s">
        <v>19</v>
      </c>
      <c r="G125" s="1" t="s">
        <v>122</v>
      </c>
      <c r="H125" s="1" t="s">
        <v>45</v>
      </c>
      <c r="I125" s="1" t="s">
        <v>21</v>
      </c>
      <c r="J125" s="3">
        <v>-12869</v>
      </c>
      <c r="K125" s="1" t="s">
        <v>101</v>
      </c>
      <c r="L125" s="1" t="s">
        <v>21</v>
      </c>
      <c r="M125" s="1" t="s">
        <v>21</v>
      </c>
      <c r="N125" s="1" t="s">
        <v>100</v>
      </c>
      <c r="O125" s="2">
        <v>42735</v>
      </c>
      <c r="P125" s="2">
        <v>42741</v>
      </c>
      <c r="Q125" s="1" t="s">
        <v>22</v>
      </c>
    </row>
    <row r="126" spans="1:17" x14ac:dyDescent="0.25">
      <c r="A126" s="1" t="s">
        <v>17</v>
      </c>
      <c r="B126" s="1" t="s">
        <v>261</v>
      </c>
      <c r="C126" s="1" t="s">
        <v>350</v>
      </c>
      <c r="D126" s="1" t="s">
        <v>345</v>
      </c>
      <c r="E126" s="1" t="s">
        <v>261</v>
      </c>
      <c r="F126" s="1" t="s">
        <v>19</v>
      </c>
      <c r="G126" s="1" t="s">
        <v>123</v>
      </c>
      <c r="H126" s="1" t="s">
        <v>20</v>
      </c>
      <c r="I126" s="1" t="s">
        <v>21</v>
      </c>
      <c r="J126" s="3">
        <v>0</v>
      </c>
      <c r="K126" s="1" t="s">
        <v>347</v>
      </c>
      <c r="L126" s="1" t="s">
        <v>21</v>
      </c>
      <c r="M126" s="1" t="s">
        <v>21</v>
      </c>
      <c r="N126" s="1" t="s">
        <v>350</v>
      </c>
      <c r="O126" s="2">
        <v>42735</v>
      </c>
      <c r="P126" s="2">
        <v>42759</v>
      </c>
      <c r="Q126" s="1" t="s">
        <v>22</v>
      </c>
    </row>
    <row r="127" spans="1:17" x14ac:dyDescent="0.25">
      <c r="A127" s="1" t="s">
        <v>23</v>
      </c>
      <c r="B127" s="1" t="s">
        <v>24</v>
      </c>
      <c r="C127" s="1" t="s">
        <v>25</v>
      </c>
      <c r="D127" s="1" t="s">
        <v>344</v>
      </c>
      <c r="E127" s="1" t="s">
        <v>261</v>
      </c>
      <c r="F127" s="1" t="s">
        <v>19</v>
      </c>
      <c r="G127" s="1" t="s">
        <v>127</v>
      </c>
      <c r="H127" s="1" t="s">
        <v>32</v>
      </c>
      <c r="I127" s="1" t="s">
        <v>21</v>
      </c>
      <c r="J127" s="3">
        <v>-16</v>
      </c>
      <c r="K127" s="1" t="s">
        <v>104</v>
      </c>
      <c r="L127" s="1" t="s">
        <v>21</v>
      </c>
      <c r="M127" s="1" t="s">
        <v>21</v>
      </c>
      <c r="N127" s="1" t="s">
        <v>25</v>
      </c>
      <c r="O127" s="2">
        <v>42735</v>
      </c>
      <c r="P127" s="2">
        <v>42759</v>
      </c>
      <c r="Q127" s="1" t="s">
        <v>22</v>
      </c>
    </row>
    <row r="128" spans="1:17" x14ac:dyDescent="0.25">
      <c r="A128" s="1" t="s">
        <v>23</v>
      </c>
      <c r="B128" s="1" t="s">
        <v>24</v>
      </c>
      <c r="C128" s="1" t="s">
        <v>106</v>
      </c>
      <c r="D128" s="1" t="s">
        <v>344</v>
      </c>
      <c r="E128" s="1" t="s">
        <v>261</v>
      </c>
      <c r="F128" s="1" t="s">
        <v>19</v>
      </c>
      <c r="G128" s="1" t="s">
        <v>127</v>
      </c>
      <c r="H128" s="1" t="s">
        <v>32</v>
      </c>
      <c r="I128" s="1" t="s">
        <v>21</v>
      </c>
      <c r="J128" s="3">
        <v>32</v>
      </c>
      <c r="K128" s="1" t="s">
        <v>104</v>
      </c>
      <c r="L128" s="1" t="s">
        <v>21</v>
      </c>
      <c r="M128" s="1" t="s">
        <v>21</v>
      </c>
      <c r="N128" s="1" t="s">
        <v>106</v>
      </c>
      <c r="O128" s="2">
        <v>42735</v>
      </c>
      <c r="P128" s="2">
        <v>42768</v>
      </c>
      <c r="Q128" s="1" t="s">
        <v>22</v>
      </c>
    </row>
    <row r="129" spans="1:17" x14ac:dyDescent="0.25">
      <c r="A129" s="1" t="s">
        <v>68</v>
      </c>
      <c r="B129" s="1" t="s">
        <v>24</v>
      </c>
      <c r="C129" s="1" t="s">
        <v>100</v>
      </c>
      <c r="D129" s="1" t="s">
        <v>335</v>
      </c>
      <c r="E129" s="1" t="s">
        <v>261</v>
      </c>
      <c r="F129" s="1" t="s">
        <v>19</v>
      </c>
      <c r="G129" s="1" t="s">
        <v>242</v>
      </c>
      <c r="H129" s="1" t="s">
        <v>45</v>
      </c>
      <c r="I129" s="1" t="s">
        <v>21</v>
      </c>
      <c r="J129" s="3">
        <v>79</v>
      </c>
      <c r="K129" s="1" t="s">
        <v>101</v>
      </c>
      <c r="L129" s="1" t="s">
        <v>21</v>
      </c>
      <c r="M129" s="1" t="s">
        <v>21</v>
      </c>
      <c r="N129" s="1" t="s">
        <v>100</v>
      </c>
      <c r="O129" s="2">
        <v>42735</v>
      </c>
      <c r="P129" s="2">
        <v>42741</v>
      </c>
      <c r="Q129" s="1" t="s">
        <v>22</v>
      </c>
    </row>
    <row r="130" spans="1:17" x14ac:dyDescent="0.25">
      <c r="A130" s="1" t="s">
        <v>23</v>
      </c>
      <c r="B130" s="1" t="s">
        <v>24</v>
      </c>
      <c r="C130" s="1" t="s">
        <v>25</v>
      </c>
      <c r="D130" s="1" t="s">
        <v>324</v>
      </c>
      <c r="E130" s="1" t="s">
        <v>261</v>
      </c>
      <c r="F130" s="1" t="s">
        <v>19</v>
      </c>
      <c r="G130" s="1" t="s">
        <v>41</v>
      </c>
      <c r="H130" s="1" t="s">
        <v>32</v>
      </c>
      <c r="I130" s="1" t="s">
        <v>21</v>
      </c>
      <c r="J130" s="3">
        <v>-222</v>
      </c>
      <c r="K130" s="1" t="s">
        <v>42</v>
      </c>
      <c r="L130" s="1" t="s">
        <v>21</v>
      </c>
      <c r="M130" s="1" t="s">
        <v>21</v>
      </c>
      <c r="N130" s="1" t="s">
        <v>25</v>
      </c>
      <c r="O130" s="2">
        <v>42735</v>
      </c>
      <c r="P130" s="2">
        <v>42759</v>
      </c>
      <c r="Q130" s="1" t="s">
        <v>22</v>
      </c>
    </row>
    <row r="131" spans="1:17" x14ac:dyDescent="0.25">
      <c r="A131" s="1" t="s">
        <v>23</v>
      </c>
      <c r="B131" s="1" t="s">
        <v>24</v>
      </c>
      <c r="C131" s="1" t="s">
        <v>28</v>
      </c>
      <c r="D131" s="1" t="s">
        <v>326</v>
      </c>
      <c r="E131" s="1" t="s">
        <v>261</v>
      </c>
      <c r="F131" s="1" t="s">
        <v>19</v>
      </c>
      <c r="G131" s="1" t="s">
        <v>49</v>
      </c>
      <c r="H131" s="1" t="s">
        <v>20</v>
      </c>
      <c r="I131" s="1" t="s">
        <v>21</v>
      </c>
      <c r="J131" s="3">
        <v>-4590</v>
      </c>
      <c r="K131" s="1" t="s">
        <v>102</v>
      </c>
      <c r="L131" s="1" t="s">
        <v>21</v>
      </c>
      <c r="M131" s="1" t="s">
        <v>21</v>
      </c>
      <c r="N131" s="1" t="s">
        <v>28</v>
      </c>
      <c r="O131" s="2">
        <v>42825</v>
      </c>
      <c r="P131" s="2">
        <v>42838</v>
      </c>
      <c r="Q131" s="1" t="s">
        <v>22</v>
      </c>
    </row>
    <row r="132" spans="1:17" x14ac:dyDescent="0.25">
      <c r="A132" s="1" t="s">
        <v>23</v>
      </c>
      <c r="B132" s="1" t="s">
        <v>24</v>
      </c>
      <c r="C132" s="1" t="s">
        <v>28</v>
      </c>
      <c r="D132" s="1" t="s">
        <v>331</v>
      </c>
      <c r="E132" s="1" t="s">
        <v>261</v>
      </c>
      <c r="F132" s="1" t="s">
        <v>19</v>
      </c>
      <c r="G132" s="1" t="s">
        <v>50</v>
      </c>
      <c r="H132" s="1" t="s">
        <v>45</v>
      </c>
      <c r="I132" s="1" t="s">
        <v>21</v>
      </c>
      <c r="J132" s="3">
        <v>19781</v>
      </c>
      <c r="K132" s="1" t="s">
        <v>93</v>
      </c>
      <c r="L132" s="1" t="s">
        <v>21</v>
      </c>
      <c r="M132" s="1" t="s">
        <v>21</v>
      </c>
      <c r="N132" s="1" t="s">
        <v>28</v>
      </c>
      <c r="O132" s="2">
        <v>42825</v>
      </c>
      <c r="P132" s="2">
        <v>42838</v>
      </c>
      <c r="Q132" s="1" t="s">
        <v>22</v>
      </c>
    </row>
    <row r="133" spans="1:17" x14ac:dyDescent="0.25">
      <c r="A133" s="1" t="s">
        <v>23</v>
      </c>
      <c r="B133" s="1" t="s">
        <v>24</v>
      </c>
      <c r="C133" s="1" t="s">
        <v>28</v>
      </c>
      <c r="D133" s="1" t="s">
        <v>334</v>
      </c>
      <c r="E133" s="1" t="s">
        <v>261</v>
      </c>
      <c r="F133" s="1" t="s">
        <v>19</v>
      </c>
      <c r="G133" s="1" t="s">
        <v>87</v>
      </c>
      <c r="H133" s="1" t="s">
        <v>45</v>
      </c>
      <c r="I133" s="1" t="s">
        <v>21</v>
      </c>
      <c r="J133" s="3">
        <v>-21</v>
      </c>
      <c r="K133" s="1" t="s">
        <v>88</v>
      </c>
      <c r="L133" s="1" t="s">
        <v>21</v>
      </c>
      <c r="M133" s="1" t="s">
        <v>21</v>
      </c>
      <c r="N133" s="1" t="s">
        <v>28</v>
      </c>
      <c r="O133" s="2">
        <v>42825</v>
      </c>
      <c r="P133" s="2">
        <v>42838</v>
      </c>
      <c r="Q133" s="1" t="s">
        <v>22</v>
      </c>
    </row>
    <row r="134" spans="1:17" x14ac:dyDescent="0.25">
      <c r="A134" s="1" t="s">
        <v>68</v>
      </c>
      <c r="B134" s="1" t="s">
        <v>24</v>
      </c>
      <c r="C134" s="1" t="s">
        <v>148</v>
      </c>
      <c r="D134" s="1" t="s">
        <v>335</v>
      </c>
      <c r="E134" s="1" t="s">
        <v>261</v>
      </c>
      <c r="F134" s="1" t="s">
        <v>19</v>
      </c>
      <c r="G134" s="1" t="s">
        <v>242</v>
      </c>
      <c r="H134" s="1" t="s">
        <v>45</v>
      </c>
      <c r="I134" s="1" t="s">
        <v>21</v>
      </c>
      <c r="J134" s="3">
        <v>-158</v>
      </c>
      <c r="K134" s="1" t="s">
        <v>249</v>
      </c>
      <c r="L134" s="1" t="s">
        <v>21</v>
      </c>
      <c r="M134" s="1" t="s">
        <v>21</v>
      </c>
      <c r="N134" s="1" t="s">
        <v>148</v>
      </c>
      <c r="O134" s="2">
        <v>42825</v>
      </c>
      <c r="P134" s="2">
        <v>42837</v>
      </c>
      <c r="Q134" s="1" t="s">
        <v>22</v>
      </c>
    </row>
    <row r="135" spans="1:17" x14ac:dyDescent="0.25">
      <c r="A135" s="1" t="s">
        <v>68</v>
      </c>
      <c r="B135" s="1" t="s">
        <v>24</v>
      </c>
      <c r="C135" s="1" t="s">
        <v>148</v>
      </c>
      <c r="D135" s="1" t="s">
        <v>324</v>
      </c>
      <c r="E135" s="1" t="s">
        <v>261</v>
      </c>
      <c r="F135" s="1" t="s">
        <v>19</v>
      </c>
      <c r="G135" s="1" t="s">
        <v>41</v>
      </c>
      <c r="H135" s="1" t="s">
        <v>32</v>
      </c>
      <c r="I135" s="1" t="s">
        <v>21</v>
      </c>
      <c r="J135" s="3">
        <v>-288</v>
      </c>
      <c r="K135" s="1" t="s">
        <v>110</v>
      </c>
      <c r="L135" s="1" t="s">
        <v>21</v>
      </c>
      <c r="M135" s="1" t="s">
        <v>21</v>
      </c>
      <c r="N135" s="1" t="s">
        <v>148</v>
      </c>
      <c r="O135" s="2">
        <v>42825</v>
      </c>
      <c r="P135" s="2">
        <v>42837</v>
      </c>
      <c r="Q135" s="1" t="s">
        <v>22</v>
      </c>
    </row>
    <row r="136" spans="1:17" x14ac:dyDescent="0.25">
      <c r="A136" s="1" t="s">
        <v>23</v>
      </c>
      <c r="B136" s="1" t="s">
        <v>24</v>
      </c>
      <c r="C136" s="1" t="s">
        <v>28</v>
      </c>
      <c r="D136" s="1" t="s">
        <v>335</v>
      </c>
      <c r="E136" s="1" t="s">
        <v>261</v>
      </c>
      <c r="F136" s="1" t="s">
        <v>19</v>
      </c>
      <c r="G136" s="1" t="s">
        <v>242</v>
      </c>
      <c r="H136" s="1" t="s">
        <v>45</v>
      </c>
      <c r="I136" s="1" t="s">
        <v>21</v>
      </c>
      <c r="J136" s="3">
        <v>2252</v>
      </c>
      <c r="K136" s="1" t="s">
        <v>245</v>
      </c>
      <c r="L136" s="1" t="s">
        <v>21</v>
      </c>
      <c r="M136" s="1" t="s">
        <v>21</v>
      </c>
      <c r="N136" s="1" t="s">
        <v>28</v>
      </c>
      <c r="O136" s="2">
        <v>42825</v>
      </c>
      <c r="P136" s="2">
        <v>42838</v>
      </c>
      <c r="Q136" s="1" t="s">
        <v>22</v>
      </c>
    </row>
    <row r="137" spans="1:17" x14ac:dyDescent="0.25">
      <c r="A137" s="1" t="s">
        <v>23</v>
      </c>
      <c r="B137" s="1" t="s">
        <v>24</v>
      </c>
      <c r="C137" s="1" t="s">
        <v>28</v>
      </c>
      <c r="D137" s="1" t="s">
        <v>324</v>
      </c>
      <c r="E137" s="1" t="s">
        <v>261</v>
      </c>
      <c r="F137" s="1" t="s">
        <v>19</v>
      </c>
      <c r="G137" s="1" t="s">
        <v>41</v>
      </c>
      <c r="H137" s="1" t="s">
        <v>32</v>
      </c>
      <c r="I137" s="1" t="s">
        <v>21</v>
      </c>
      <c r="J137" s="3">
        <v>-4256</v>
      </c>
      <c r="K137" s="1" t="s">
        <v>117</v>
      </c>
      <c r="L137" s="1" t="s">
        <v>21</v>
      </c>
      <c r="M137" s="1" t="s">
        <v>21</v>
      </c>
      <c r="N137" s="1" t="s">
        <v>28</v>
      </c>
      <c r="O137" s="2">
        <v>42825</v>
      </c>
      <c r="P137" s="2">
        <v>42838</v>
      </c>
      <c r="Q137" s="1" t="s">
        <v>22</v>
      </c>
    </row>
    <row r="138" spans="1:17" x14ac:dyDescent="0.25">
      <c r="A138" s="1" t="s">
        <v>23</v>
      </c>
      <c r="B138" s="1" t="s">
        <v>24</v>
      </c>
      <c r="C138" s="1" t="s">
        <v>28</v>
      </c>
      <c r="D138" s="1" t="s">
        <v>333</v>
      </c>
      <c r="E138" s="1" t="s">
        <v>261</v>
      </c>
      <c r="F138" s="1" t="s">
        <v>19</v>
      </c>
      <c r="G138" s="1" t="s">
        <v>51</v>
      </c>
      <c r="H138" s="1" t="s">
        <v>45</v>
      </c>
      <c r="I138" s="1" t="s">
        <v>21</v>
      </c>
      <c r="J138" s="3">
        <v>24</v>
      </c>
      <c r="K138" s="1" t="s">
        <v>52</v>
      </c>
      <c r="L138" s="1" t="s">
        <v>21</v>
      </c>
      <c r="M138" s="1" t="s">
        <v>21</v>
      </c>
      <c r="N138" s="1" t="s">
        <v>28</v>
      </c>
      <c r="O138" s="2">
        <v>42825</v>
      </c>
      <c r="P138" s="2">
        <v>42838</v>
      </c>
      <c r="Q138" s="1" t="s">
        <v>22</v>
      </c>
    </row>
    <row r="139" spans="1:17" x14ac:dyDescent="0.25">
      <c r="A139" s="1" t="s">
        <v>23</v>
      </c>
      <c r="B139" s="1" t="s">
        <v>24</v>
      </c>
      <c r="C139" s="1" t="s">
        <v>28</v>
      </c>
      <c r="D139" s="1" t="s">
        <v>324</v>
      </c>
      <c r="E139" s="1" t="s">
        <v>261</v>
      </c>
      <c r="F139" s="1" t="s">
        <v>19</v>
      </c>
      <c r="G139" s="1" t="s">
        <v>41</v>
      </c>
      <c r="H139" s="1" t="s">
        <v>32</v>
      </c>
      <c r="I139" s="1" t="s">
        <v>21</v>
      </c>
      <c r="J139" s="3">
        <v>-56</v>
      </c>
      <c r="K139" s="1" t="s">
        <v>42</v>
      </c>
      <c r="L139" s="1" t="s">
        <v>21</v>
      </c>
      <c r="M139" s="1" t="s">
        <v>21</v>
      </c>
      <c r="N139" s="1" t="s">
        <v>28</v>
      </c>
      <c r="O139" s="2">
        <v>42825</v>
      </c>
      <c r="P139" s="2">
        <v>42838</v>
      </c>
      <c r="Q139" s="1" t="s">
        <v>22</v>
      </c>
    </row>
    <row r="140" spans="1:17" x14ac:dyDescent="0.25">
      <c r="A140" s="1" t="s">
        <v>23</v>
      </c>
      <c r="B140" s="1" t="s">
        <v>24</v>
      </c>
      <c r="C140" s="1" t="s">
        <v>84</v>
      </c>
      <c r="D140" s="1" t="s">
        <v>326</v>
      </c>
      <c r="E140" s="1" t="s">
        <v>261</v>
      </c>
      <c r="F140" s="1" t="s">
        <v>19</v>
      </c>
      <c r="G140" s="1" t="s">
        <v>49</v>
      </c>
      <c r="H140" s="1" t="s">
        <v>20</v>
      </c>
      <c r="I140" s="1" t="s">
        <v>21</v>
      </c>
      <c r="J140" s="3">
        <v>4590</v>
      </c>
      <c r="K140" s="1" t="s">
        <v>85</v>
      </c>
      <c r="L140" s="1" t="s">
        <v>21</v>
      </c>
      <c r="M140" s="1" t="s">
        <v>21</v>
      </c>
      <c r="N140" s="1" t="s">
        <v>28</v>
      </c>
      <c r="O140" s="2">
        <v>42916</v>
      </c>
      <c r="P140" s="2">
        <v>42928</v>
      </c>
      <c r="Q140" s="1" t="s">
        <v>22</v>
      </c>
    </row>
    <row r="141" spans="1:17" x14ac:dyDescent="0.25">
      <c r="A141" s="1" t="s">
        <v>23</v>
      </c>
      <c r="B141" s="1" t="s">
        <v>24</v>
      </c>
      <c r="C141" s="1" t="s">
        <v>34</v>
      </c>
      <c r="D141" s="1" t="s">
        <v>353</v>
      </c>
      <c r="E141" s="1" t="s">
        <v>261</v>
      </c>
      <c r="F141" s="1" t="s">
        <v>19</v>
      </c>
      <c r="G141" s="1" t="s">
        <v>31</v>
      </c>
      <c r="H141" s="1" t="s">
        <v>32</v>
      </c>
      <c r="I141" s="1" t="s">
        <v>21</v>
      </c>
      <c r="J141" s="3">
        <v>25958</v>
      </c>
      <c r="K141" s="1" t="s">
        <v>86</v>
      </c>
      <c r="L141" s="1" t="s">
        <v>21</v>
      </c>
      <c r="M141" s="1" t="s">
        <v>21</v>
      </c>
      <c r="N141" s="1" t="s">
        <v>34</v>
      </c>
      <c r="O141" s="2">
        <v>42916</v>
      </c>
      <c r="P141" s="2">
        <v>42928</v>
      </c>
      <c r="Q141" s="1" t="s">
        <v>22</v>
      </c>
    </row>
    <row r="142" spans="1:17" x14ac:dyDescent="0.25">
      <c r="A142" s="1" t="s">
        <v>23</v>
      </c>
      <c r="B142" s="1" t="s">
        <v>24</v>
      </c>
      <c r="C142" s="1" t="s">
        <v>84</v>
      </c>
      <c r="D142" s="1" t="s">
        <v>331</v>
      </c>
      <c r="E142" s="1" t="s">
        <v>261</v>
      </c>
      <c r="F142" s="1" t="s">
        <v>19</v>
      </c>
      <c r="G142" s="1" t="s">
        <v>50</v>
      </c>
      <c r="H142" s="1" t="s">
        <v>45</v>
      </c>
      <c r="I142" s="1" t="s">
        <v>21</v>
      </c>
      <c r="J142" s="3">
        <v>-19781</v>
      </c>
      <c r="K142" s="1" t="s">
        <v>85</v>
      </c>
      <c r="L142" s="1" t="s">
        <v>21</v>
      </c>
      <c r="M142" s="1" t="s">
        <v>21</v>
      </c>
      <c r="N142" s="1" t="s">
        <v>28</v>
      </c>
      <c r="O142" s="2">
        <v>42916</v>
      </c>
      <c r="P142" s="2">
        <v>42928</v>
      </c>
      <c r="Q142" s="1" t="s">
        <v>22</v>
      </c>
    </row>
    <row r="143" spans="1:17" x14ac:dyDescent="0.25">
      <c r="A143" s="1" t="s">
        <v>23</v>
      </c>
      <c r="B143" s="1" t="s">
        <v>24</v>
      </c>
      <c r="C143" s="1" t="s">
        <v>84</v>
      </c>
      <c r="D143" s="1" t="s">
        <v>333</v>
      </c>
      <c r="E143" s="1" t="s">
        <v>261</v>
      </c>
      <c r="F143" s="1" t="s">
        <v>19</v>
      </c>
      <c r="G143" s="1" t="s">
        <v>51</v>
      </c>
      <c r="H143" s="1" t="s">
        <v>45</v>
      </c>
      <c r="I143" s="1" t="s">
        <v>21</v>
      </c>
      <c r="J143" s="3">
        <v>-24</v>
      </c>
      <c r="K143" s="1" t="s">
        <v>85</v>
      </c>
      <c r="L143" s="1" t="s">
        <v>21</v>
      </c>
      <c r="M143" s="1" t="s">
        <v>21</v>
      </c>
      <c r="N143" s="1" t="s">
        <v>28</v>
      </c>
      <c r="O143" s="2">
        <v>42916</v>
      </c>
      <c r="P143" s="2">
        <v>42928</v>
      </c>
      <c r="Q143" s="1" t="s">
        <v>22</v>
      </c>
    </row>
    <row r="144" spans="1:17" x14ac:dyDescent="0.25">
      <c r="A144" s="1" t="s">
        <v>23</v>
      </c>
      <c r="B144" s="1" t="s">
        <v>24</v>
      </c>
      <c r="C144" s="1" t="s">
        <v>84</v>
      </c>
      <c r="D144" s="1" t="s">
        <v>335</v>
      </c>
      <c r="E144" s="1" t="s">
        <v>261</v>
      </c>
      <c r="F144" s="1" t="s">
        <v>19</v>
      </c>
      <c r="G144" s="1" t="s">
        <v>242</v>
      </c>
      <c r="H144" s="1" t="s">
        <v>45</v>
      </c>
      <c r="I144" s="1" t="s">
        <v>21</v>
      </c>
      <c r="J144" s="3">
        <v>-2252</v>
      </c>
      <c r="K144" s="1" t="s">
        <v>85</v>
      </c>
      <c r="L144" s="1" t="s">
        <v>21</v>
      </c>
      <c r="M144" s="1" t="s">
        <v>21</v>
      </c>
      <c r="N144" s="1" t="s">
        <v>28</v>
      </c>
      <c r="O144" s="2">
        <v>42916</v>
      </c>
      <c r="P144" s="2">
        <v>42928</v>
      </c>
      <c r="Q144" s="1" t="s">
        <v>22</v>
      </c>
    </row>
    <row r="145" spans="1:17" x14ac:dyDescent="0.25">
      <c r="A145" s="1" t="s">
        <v>23</v>
      </c>
      <c r="B145" s="1" t="s">
        <v>24</v>
      </c>
      <c r="C145" s="1" t="s">
        <v>84</v>
      </c>
      <c r="D145" s="1" t="s">
        <v>324</v>
      </c>
      <c r="E145" s="1" t="s">
        <v>261</v>
      </c>
      <c r="F145" s="1" t="s">
        <v>19</v>
      </c>
      <c r="G145" s="1" t="s">
        <v>41</v>
      </c>
      <c r="H145" s="1" t="s">
        <v>32</v>
      </c>
      <c r="I145" s="1" t="s">
        <v>21</v>
      </c>
      <c r="J145" s="3">
        <v>4256</v>
      </c>
      <c r="K145" s="1" t="s">
        <v>85</v>
      </c>
      <c r="L145" s="1" t="s">
        <v>21</v>
      </c>
      <c r="M145" s="1" t="s">
        <v>21</v>
      </c>
      <c r="N145" s="1" t="s">
        <v>28</v>
      </c>
      <c r="O145" s="2">
        <v>42916</v>
      </c>
      <c r="P145" s="2">
        <v>42928</v>
      </c>
      <c r="Q145" s="1" t="s">
        <v>22</v>
      </c>
    </row>
    <row r="146" spans="1:17" x14ac:dyDescent="0.25">
      <c r="A146" s="1" t="s">
        <v>23</v>
      </c>
      <c r="B146" s="1" t="s">
        <v>24</v>
      </c>
      <c r="C146" s="1" t="s">
        <v>84</v>
      </c>
      <c r="D146" s="1" t="s">
        <v>324</v>
      </c>
      <c r="E146" s="1" t="s">
        <v>261</v>
      </c>
      <c r="F146" s="1" t="s">
        <v>19</v>
      </c>
      <c r="G146" s="1" t="s">
        <v>41</v>
      </c>
      <c r="H146" s="1" t="s">
        <v>32</v>
      </c>
      <c r="I146" s="1" t="s">
        <v>21</v>
      </c>
      <c r="J146" s="3">
        <v>56</v>
      </c>
      <c r="K146" s="1" t="s">
        <v>85</v>
      </c>
      <c r="L146" s="1" t="s">
        <v>21</v>
      </c>
      <c r="M146" s="1" t="s">
        <v>21</v>
      </c>
      <c r="N146" s="1" t="s">
        <v>28</v>
      </c>
      <c r="O146" s="2">
        <v>42916</v>
      </c>
      <c r="P146" s="2">
        <v>42928</v>
      </c>
      <c r="Q146" s="1" t="s">
        <v>22</v>
      </c>
    </row>
    <row r="147" spans="1:17" x14ac:dyDescent="0.25">
      <c r="A147" s="1" t="s">
        <v>23</v>
      </c>
      <c r="B147" s="1" t="s">
        <v>24</v>
      </c>
      <c r="C147" s="1" t="s">
        <v>84</v>
      </c>
      <c r="D147" s="1" t="s">
        <v>334</v>
      </c>
      <c r="E147" s="1" t="s">
        <v>261</v>
      </c>
      <c r="F147" s="1" t="s">
        <v>19</v>
      </c>
      <c r="G147" s="1" t="s">
        <v>87</v>
      </c>
      <c r="H147" s="1" t="s">
        <v>45</v>
      </c>
      <c r="I147" s="1" t="s">
        <v>21</v>
      </c>
      <c r="J147" s="3">
        <v>21</v>
      </c>
      <c r="K147" s="1" t="s">
        <v>85</v>
      </c>
      <c r="L147" s="1" t="s">
        <v>21</v>
      </c>
      <c r="M147" s="1" t="s">
        <v>21</v>
      </c>
      <c r="N147" s="1" t="s">
        <v>28</v>
      </c>
      <c r="O147" s="2">
        <v>42916</v>
      </c>
      <c r="P147" s="2">
        <v>42928</v>
      </c>
      <c r="Q147" s="1" t="s">
        <v>22</v>
      </c>
    </row>
    <row r="148" spans="1:17" x14ac:dyDescent="0.25">
      <c r="A148" s="1" t="s">
        <v>23</v>
      </c>
      <c r="B148" s="1" t="s">
        <v>24</v>
      </c>
      <c r="C148" s="1" t="s">
        <v>29</v>
      </c>
      <c r="D148" s="1" t="s">
        <v>353</v>
      </c>
      <c r="E148" s="1" t="s">
        <v>261</v>
      </c>
      <c r="F148" s="1" t="s">
        <v>19</v>
      </c>
      <c r="G148" s="1" t="s">
        <v>31</v>
      </c>
      <c r="H148" s="1" t="s">
        <v>32</v>
      </c>
      <c r="I148" s="1" t="s">
        <v>21</v>
      </c>
      <c r="J148" s="3">
        <v>-25958</v>
      </c>
      <c r="K148" s="1" t="s">
        <v>33</v>
      </c>
      <c r="L148" s="1" t="s">
        <v>21</v>
      </c>
      <c r="M148" s="1" t="s">
        <v>21</v>
      </c>
      <c r="N148" s="1" t="s">
        <v>34</v>
      </c>
      <c r="O148" s="2">
        <v>43008</v>
      </c>
      <c r="P148" s="2">
        <v>43020</v>
      </c>
      <c r="Q148" s="1" t="s">
        <v>22</v>
      </c>
    </row>
    <row r="149" spans="1:17" x14ac:dyDescent="0.25">
      <c r="A149" s="1" t="s">
        <v>23</v>
      </c>
      <c r="B149" s="1" t="s">
        <v>24</v>
      </c>
      <c r="C149" s="1" t="s">
        <v>37</v>
      </c>
      <c r="D149" s="1" t="s">
        <v>353</v>
      </c>
      <c r="E149" s="1" t="s">
        <v>261</v>
      </c>
      <c r="F149" s="1" t="s">
        <v>19</v>
      </c>
      <c r="G149" s="1" t="s">
        <v>31</v>
      </c>
      <c r="H149" s="1" t="s">
        <v>32</v>
      </c>
      <c r="I149" s="1" t="s">
        <v>21</v>
      </c>
      <c r="J149" s="3">
        <v>34886</v>
      </c>
      <c r="K149" s="1" t="s">
        <v>86</v>
      </c>
      <c r="L149" s="1" t="s">
        <v>21</v>
      </c>
      <c r="M149" s="1" t="s">
        <v>21</v>
      </c>
      <c r="N149" s="1" t="s">
        <v>37</v>
      </c>
      <c r="O149" s="2">
        <v>43008</v>
      </c>
      <c r="P149" s="2">
        <v>43020</v>
      </c>
      <c r="Q149" s="1" t="s">
        <v>22</v>
      </c>
    </row>
    <row r="150" spans="1:17" x14ac:dyDescent="0.25">
      <c r="A150" s="1" t="s">
        <v>39</v>
      </c>
      <c r="B150" s="1" t="s">
        <v>24</v>
      </c>
      <c r="C150" s="1" t="s">
        <v>40</v>
      </c>
      <c r="D150" s="1" t="s">
        <v>326</v>
      </c>
      <c r="E150" s="1" t="s">
        <v>261</v>
      </c>
      <c r="F150" s="1" t="s">
        <v>19</v>
      </c>
      <c r="G150" s="1" t="s">
        <v>49</v>
      </c>
      <c r="H150" s="1" t="s">
        <v>20</v>
      </c>
      <c r="I150" s="1" t="s">
        <v>21</v>
      </c>
      <c r="J150" s="3">
        <v>-119</v>
      </c>
      <c r="K150" s="1" t="s">
        <v>115</v>
      </c>
      <c r="L150" s="1" t="s">
        <v>21</v>
      </c>
      <c r="M150" s="1" t="s">
        <v>21</v>
      </c>
      <c r="N150" s="1" t="s">
        <v>40</v>
      </c>
      <c r="O150" s="2">
        <v>43100</v>
      </c>
      <c r="P150" s="2">
        <v>43131</v>
      </c>
      <c r="Q150" s="1" t="s">
        <v>22</v>
      </c>
    </row>
    <row r="151" spans="1:17" x14ac:dyDescent="0.25">
      <c r="A151" s="1" t="s">
        <v>23</v>
      </c>
      <c r="B151" s="1" t="s">
        <v>24</v>
      </c>
      <c r="C151" s="1" t="s">
        <v>35</v>
      </c>
      <c r="D151" s="1" t="s">
        <v>353</v>
      </c>
      <c r="E151" s="1" t="s">
        <v>261</v>
      </c>
      <c r="F151" s="1" t="s">
        <v>19</v>
      </c>
      <c r="G151" s="1" t="s">
        <v>31</v>
      </c>
      <c r="H151" s="1" t="s">
        <v>32</v>
      </c>
      <c r="I151" s="1" t="s">
        <v>21</v>
      </c>
      <c r="J151" s="3">
        <v>-34886</v>
      </c>
      <c r="K151" s="1" t="s">
        <v>36</v>
      </c>
      <c r="L151" s="1" t="s">
        <v>21</v>
      </c>
      <c r="M151" s="1" t="s">
        <v>21</v>
      </c>
      <c r="N151" s="1" t="s">
        <v>37</v>
      </c>
      <c r="O151" s="2">
        <v>43100</v>
      </c>
      <c r="P151" s="2">
        <v>43130</v>
      </c>
      <c r="Q151" s="1" t="s">
        <v>22</v>
      </c>
    </row>
    <row r="152" spans="1:17" x14ac:dyDescent="0.25">
      <c r="A152" s="1" t="s">
        <v>23</v>
      </c>
      <c r="B152" s="1" t="s">
        <v>24</v>
      </c>
      <c r="C152" s="1" t="s">
        <v>38</v>
      </c>
      <c r="D152" s="1" t="s">
        <v>326</v>
      </c>
      <c r="E152" s="1" t="s">
        <v>261</v>
      </c>
      <c r="F152" s="1" t="s">
        <v>19</v>
      </c>
      <c r="G152" s="1" t="s">
        <v>49</v>
      </c>
      <c r="H152" s="1" t="s">
        <v>20</v>
      </c>
      <c r="I152" s="1" t="s">
        <v>21</v>
      </c>
      <c r="J152" s="3">
        <v>-18360</v>
      </c>
      <c r="K152" s="1" t="s">
        <v>102</v>
      </c>
      <c r="L152" s="1" t="s">
        <v>21</v>
      </c>
      <c r="M152" s="1" t="s">
        <v>21</v>
      </c>
      <c r="N152" s="1" t="s">
        <v>38</v>
      </c>
      <c r="O152" s="2">
        <v>43100</v>
      </c>
      <c r="P152" s="2">
        <v>43130</v>
      </c>
      <c r="Q152" s="1" t="s">
        <v>22</v>
      </c>
    </row>
    <row r="153" spans="1:17" x14ac:dyDescent="0.25">
      <c r="A153" s="1" t="s">
        <v>39</v>
      </c>
      <c r="B153" s="1" t="s">
        <v>24</v>
      </c>
      <c r="C153" s="1" t="s">
        <v>40</v>
      </c>
      <c r="D153" s="1" t="s">
        <v>326</v>
      </c>
      <c r="E153" s="1" t="s">
        <v>261</v>
      </c>
      <c r="F153" s="1" t="s">
        <v>19</v>
      </c>
      <c r="G153" s="1" t="s">
        <v>49</v>
      </c>
      <c r="H153" s="1" t="s">
        <v>20</v>
      </c>
      <c r="I153" s="1" t="s">
        <v>21</v>
      </c>
      <c r="J153" s="3">
        <v>31602</v>
      </c>
      <c r="K153" s="1" t="s">
        <v>102</v>
      </c>
      <c r="L153" s="1" t="s">
        <v>21</v>
      </c>
      <c r="M153" s="1" t="s">
        <v>21</v>
      </c>
      <c r="N153" s="1" t="s">
        <v>40</v>
      </c>
      <c r="O153" s="2">
        <v>43100</v>
      </c>
      <c r="P153" s="2">
        <v>43131</v>
      </c>
      <c r="Q153" s="1" t="s">
        <v>22</v>
      </c>
    </row>
    <row r="154" spans="1:17" x14ac:dyDescent="0.25">
      <c r="A154" s="1" t="s">
        <v>23</v>
      </c>
      <c r="B154" s="1" t="s">
        <v>24</v>
      </c>
      <c r="C154" s="1" t="s">
        <v>38</v>
      </c>
      <c r="D154" s="1" t="s">
        <v>331</v>
      </c>
      <c r="E154" s="1" t="s">
        <v>261</v>
      </c>
      <c r="F154" s="1" t="s">
        <v>19</v>
      </c>
      <c r="G154" s="1" t="s">
        <v>50</v>
      </c>
      <c r="H154" s="1" t="s">
        <v>45</v>
      </c>
      <c r="I154" s="1" t="s">
        <v>21</v>
      </c>
      <c r="J154" s="3">
        <v>79123</v>
      </c>
      <c r="K154" s="1" t="s">
        <v>93</v>
      </c>
      <c r="L154" s="1" t="s">
        <v>21</v>
      </c>
      <c r="M154" s="1" t="s">
        <v>21</v>
      </c>
      <c r="N154" s="1" t="s">
        <v>38</v>
      </c>
      <c r="O154" s="2">
        <v>43100</v>
      </c>
      <c r="P154" s="2">
        <v>43130</v>
      </c>
      <c r="Q154" s="1" t="s">
        <v>22</v>
      </c>
    </row>
    <row r="155" spans="1:17" x14ac:dyDescent="0.25">
      <c r="A155" s="1" t="s">
        <v>39</v>
      </c>
      <c r="B155" s="1" t="s">
        <v>24</v>
      </c>
      <c r="C155" s="1" t="s">
        <v>40</v>
      </c>
      <c r="D155" s="1" t="s">
        <v>331</v>
      </c>
      <c r="E155" s="1" t="s">
        <v>261</v>
      </c>
      <c r="F155" s="1" t="s">
        <v>19</v>
      </c>
      <c r="G155" s="1" t="s">
        <v>50</v>
      </c>
      <c r="H155" s="1" t="s">
        <v>45</v>
      </c>
      <c r="I155" s="1" t="s">
        <v>21</v>
      </c>
      <c r="J155" s="3">
        <v>-1564</v>
      </c>
      <c r="K155" s="1" t="s">
        <v>93</v>
      </c>
      <c r="L155" s="1" t="s">
        <v>21</v>
      </c>
      <c r="M155" s="1" t="s">
        <v>21</v>
      </c>
      <c r="N155" s="1" t="s">
        <v>40</v>
      </c>
      <c r="O155" s="2">
        <v>43100</v>
      </c>
      <c r="P155" s="2">
        <v>43131</v>
      </c>
      <c r="Q155" s="1" t="s">
        <v>22</v>
      </c>
    </row>
    <row r="156" spans="1:17" x14ac:dyDescent="0.25">
      <c r="A156" s="1" t="s">
        <v>23</v>
      </c>
      <c r="B156" s="1" t="s">
        <v>24</v>
      </c>
      <c r="C156" s="1" t="s">
        <v>38</v>
      </c>
      <c r="D156" s="1" t="s">
        <v>334</v>
      </c>
      <c r="E156" s="1" t="s">
        <v>261</v>
      </c>
      <c r="F156" s="1" t="s">
        <v>19</v>
      </c>
      <c r="G156" s="1" t="s">
        <v>87</v>
      </c>
      <c r="H156" s="1" t="s">
        <v>45</v>
      </c>
      <c r="I156" s="1" t="s">
        <v>21</v>
      </c>
      <c r="J156" s="3">
        <v>-5</v>
      </c>
      <c r="K156" s="1" t="s">
        <v>88</v>
      </c>
      <c r="L156" s="1" t="s">
        <v>21</v>
      </c>
      <c r="M156" s="1" t="s">
        <v>21</v>
      </c>
      <c r="N156" s="1" t="s">
        <v>38</v>
      </c>
      <c r="O156" s="2">
        <v>43100</v>
      </c>
      <c r="P156" s="2">
        <v>43130</v>
      </c>
      <c r="Q156" s="1" t="s">
        <v>22</v>
      </c>
    </row>
    <row r="157" spans="1:17" x14ac:dyDescent="0.25">
      <c r="A157" s="1" t="s">
        <v>39</v>
      </c>
      <c r="B157" s="1" t="s">
        <v>24</v>
      </c>
      <c r="C157" s="1" t="s">
        <v>40</v>
      </c>
      <c r="D157" s="1" t="s">
        <v>334</v>
      </c>
      <c r="E157" s="1" t="s">
        <v>261</v>
      </c>
      <c r="F157" s="1" t="s">
        <v>19</v>
      </c>
      <c r="G157" s="1" t="s">
        <v>87</v>
      </c>
      <c r="H157" s="1" t="s">
        <v>45</v>
      </c>
      <c r="I157" s="1" t="s">
        <v>21</v>
      </c>
      <c r="J157" s="3">
        <v>156</v>
      </c>
      <c r="K157" s="1" t="s">
        <v>88</v>
      </c>
      <c r="L157" s="1" t="s">
        <v>21</v>
      </c>
      <c r="M157" s="1" t="s">
        <v>21</v>
      </c>
      <c r="N157" s="1" t="s">
        <v>40</v>
      </c>
      <c r="O157" s="2">
        <v>43100</v>
      </c>
      <c r="P157" s="2">
        <v>43131</v>
      </c>
      <c r="Q157" s="1" t="s">
        <v>22</v>
      </c>
    </row>
    <row r="158" spans="1:17" x14ac:dyDescent="0.25">
      <c r="A158" s="1" t="s">
        <v>39</v>
      </c>
      <c r="B158" s="1" t="s">
        <v>24</v>
      </c>
      <c r="C158" s="1" t="s">
        <v>40</v>
      </c>
      <c r="D158" s="1" t="s">
        <v>354</v>
      </c>
      <c r="E158" s="1" t="s">
        <v>261</v>
      </c>
      <c r="F158" s="1" t="s">
        <v>19</v>
      </c>
      <c r="G158" s="1" t="s">
        <v>132</v>
      </c>
      <c r="H158" s="1" t="s">
        <v>32</v>
      </c>
      <c r="I158" s="1" t="s">
        <v>21</v>
      </c>
      <c r="J158" s="3">
        <v>13517</v>
      </c>
      <c r="K158" s="1" t="s">
        <v>142</v>
      </c>
      <c r="L158" s="1" t="s">
        <v>21</v>
      </c>
      <c r="M158" s="1" t="s">
        <v>21</v>
      </c>
      <c r="N158" s="1" t="s">
        <v>40</v>
      </c>
      <c r="O158" s="2">
        <v>43100</v>
      </c>
      <c r="P158" s="2">
        <v>43131</v>
      </c>
      <c r="Q158" s="1" t="s">
        <v>22</v>
      </c>
    </row>
    <row r="159" spans="1:17" x14ac:dyDescent="0.25">
      <c r="A159" s="1" t="s">
        <v>23</v>
      </c>
      <c r="B159" s="1" t="s">
        <v>24</v>
      </c>
      <c r="C159" s="1" t="s">
        <v>38</v>
      </c>
      <c r="D159" s="1" t="s">
        <v>324</v>
      </c>
      <c r="E159" s="1" t="s">
        <v>261</v>
      </c>
      <c r="F159" s="1" t="s">
        <v>19</v>
      </c>
      <c r="G159" s="1" t="s">
        <v>41</v>
      </c>
      <c r="H159" s="1" t="s">
        <v>32</v>
      </c>
      <c r="I159" s="1" t="s">
        <v>21</v>
      </c>
      <c r="J159" s="3">
        <v>-19368</v>
      </c>
      <c r="K159" s="1" t="s">
        <v>117</v>
      </c>
      <c r="L159" s="1" t="s">
        <v>21</v>
      </c>
      <c r="M159" s="1" t="s">
        <v>21</v>
      </c>
      <c r="N159" s="1" t="s">
        <v>38</v>
      </c>
      <c r="O159" s="2">
        <v>43100</v>
      </c>
      <c r="P159" s="2">
        <v>43130</v>
      </c>
      <c r="Q159" s="1" t="s">
        <v>22</v>
      </c>
    </row>
    <row r="160" spans="1:17" x14ac:dyDescent="0.25">
      <c r="A160" s="1" t="s">
        <v>39</v>
      </c>
      <c r="B160" s="1" t="s">
        <v>24</v>
      </c>
      <c r="C160" s="1" t="s">
        <v>40</v>
      </c>
      <c r="D160" s="1" t="s">
        <v>324</v>
      </c>
      <c r="E160" s="1" t="s">
        <v>261</v>
      </c>
      <c r="F160" s="1" t="s">
        <v>19</v>
      </c>
      <c r="G160" s="1" t="s">
        <v>41</v>
      </c>
      <c r="H160" s="1" t="s">
        <v>32</v>
      </c>
      <c r="I160" s="1" t="s">
        <v>21</v>
      </c>
      <c r="J160" s="3">
        <v>36619</v>
      </c>
      <c r="K160" s="1" t="s">
        <v>117</v>
      </c>
      <c r="L160" s="1" t="s">
        <v>21</v>
      </c>
      <c r="M160" s="1" t="s">
        <v>21</v>
      </c>
      <c r="N160" s="1" t="s">
        <v>40</v>
      </c>
      <c r="O160" s="2">
        <v>43100</v>
      </c>
      <c r="P160" s="2">
        <v>43131</v>
      </c>
      <c r="Q160" s="1" t="s">
        <v>22</v>
      </c>
    </row>
    <row r="161" spans="1:17" x14ac:dyDescent="0.25">
      <c r="A161" s="1" t="s">
        <v>39</v>
      </c>
      <c r="B161" s="1" t="s">
        <v>24</v>
      </c>
      <c r="C161" s="1" t="s">
        <v>40</v>
      </c>
      <c r="D161" s="1" t="s">
        <v>352</v>
      </c>
      <c r="E161" s="1" t="s">
        <v>261</v>
      </c>
      <c r="F161" s="1" t="s">
        <v>19</v>
      </c>
      <c r="G161" s="1" t="s">
        <v>122</v>
      </c>
      <c r="H161" s="1" t="s">
        <v>45</v>
      </c>
      <c r="I161" s="1" t="s">
        <v>21</v>
      </c>
      <c r="J161" s="3">
        <v>4414</v>
      </c>
      <c r="K161" s="1" t="s">
        <v>125</v>
      </c>
      <c r="L161" s="1" t="s">
        <v>21</v>
      </c>
      <c r="M161" s="1" t="s">
        <v>21</v>
      </c>
      <c r="N161" s="1" t="s">
        <v>40</v>
      </c>
      <c r="O161" s="2">
        <v>43100</v>
      </c>
      <c r="P161" s="2">
        <v>43131</v>
      </c>
      <c r="Q161" s="1" t="s">
        <v>22</v>
      </c>
    </row>
    <row r="162" spans="1:17" x14ac:dyDescent="0.25">
      <c r="A162" s="1" t="s">
        <v>39</v>
      </c>
      <c r="B162" s="1" t="s">
        <v>24</v>
      </c>
      <c r="C162" s="1" t="s">
        <v>40</v>
      </c>
      <c r="D162" s="1" t="s">
        <v>354</v>
      </c>
      <c r="E162" s="1" t="s">
        <v>261</v>
      </c>
      <c r="F162" s="1" t="s">
        <v>19</v>
      </c>
      <c r="G162" s="1" t="s">
        <v>132</v>
      </c>
      <c r="H162" s="1" t="s">
        <v>32</v>
      </c>
      <c r="I162" s="1" t="s">
        <v>21</v>
      </c>
      <c r="J162" s="3">
        <v>16</v>
      </c>
      <c r="K162" s="1" t="s">
        <v>133</v>
      </c>
      <c r="L162" s="1" t="s">
        <v>21</v>
      </c>
      <c r="M162" s="1" t="s">
        <v>21</v>
      </c>
      <c r="N162" s="1" t="s">
        <v>40</v>
      </c>
      <c r="O162" s="2">
        <v>43100</v>
      </c>
      <c r="P162" s="2">
        <v>43131</v>
      </c>
      <c r="Q162" s="1" t="s">
        <v>22</v>
      </c>
    </row>
    <row r="163" spans="1:17" x14ac:dyDescent="0.25">
      <c r="A163" s="1" t="s">
        <v>39</v>
      </c>
      <c r="B163" s="1" t="s">
        <v>24</v>
      </c>
      <c r="C163" s="1" t="s">
        <v>40</v>
      </c>
      <c r="D163" s="1" t="s">
        <v>354</v>
      </c>
      <c r="E163" s="1" t="s">
        <v>261</v>
      </c>
      <c r="F163" s="1" t="s">
        <v>19</v>
      </c>
      <c r="G163" s="1" t="s">
        <v>132</v>
      </c>
      <c r="H163" s="1" t="s">
        <v>32</v>
      </c>
      <c r="I163" s="1" t="s">
        <v>21</v>
      </c>
      <c r="J163" s="3">
        <v>11258</v>
      </c>
      <c r="K163" s="1" t="s">
        <v>134</v>
      </c>
      <c r="L163" s="1" t="s">
        <v>21</v>
      </c>
      <c r="M163" s="1" t="s">
        <v>21</v>
      </c>
      <c r="N163" s="1" t="s">
        <v>40</v>
      </c>
      <c r="O163" s="2">
        <v>43100</v>
      </c>
      <c r="P163" s="2">
        <v>43131</v>
      </c>
      <c r="Q163" s="1" t="s">
        <v>22</v>
      </c>
    </row>
    <row r="164" spans="1:17" x14ac:dyDescent="0.25">
      <c r="A164" s="1" t="s">
        <v>23</v>
      </c>
      <c r="B164" s="1" t="s">
        <v>24</v>
      </c>
      <c r="C164" s="1" t="s">
        <v>38</v>
      </c>
      <c r="D164" s="1" t="s">
        <v>335</v>
      </c>
      <c r="E164" s="1" t="s">
        <v>261</v>
      </c>
      <c r="F164" s="1" t="s">
        <v>19</v>
      </c>
      <c r="G164" s="1" t="s">
        <v>242</v>
      </c>
      <c r="H164" s="1" t="s">
        <v>45</v>
      </c>
      <c r="I164" s="1" t="s">
        <v>21</v>
      </c>
      <c r="J164" s="3">
        <v>5486</v>
      </c>
      <c r="K164" s="1" t="s">
        <v>245</v>
      </c>
      <c r="L164" s="1" t="s">
        <v>21</v>
      </c>
      <c r="M164" s="1" t="s">
        <v>21</v>
      </c>
      <c r="N164" s="1" t="s">
        <v>38</v>
      </c>
      <c r="O164" s="2">
        <v>43100</v>
      </c>
      <c r="P164" s="2">
        <v>43130</v>
      </c>
      <c r="Q164" s="1" t="s">
        <v>22</v>
      </c>
    </row>
    <row r="165" spans="1:17" x14ac:dyDescent="0.25">
      <c r="A165" s="1" t="s">
        <v>39</v>
      </c>
      <c r="B165" s="1" t="s">
        <v>24</v>
      </c>
      <c r="C165" s="1" t="s">
        <v>40</v>
      </c>
      <c r="D165" s="1" t="s">
        <v>335</v>
      </c>
      <c r="E165" s="1" t="s">
        <v>261</v>
      </c>
      <c r="F165" s="1" t="s">
        <v>19</v>
      </c>
      <c r="G165" s="1" t="s">
        <v>242</v>
      </c>
      <c r="H165" s="1" t="s">
        <v>45</v>
      </c>
      <c r="I165" s="1" t="s">
        <v>21</v>
      </c>
      <c r="J165" s="3">
        <v>-1087</v>
      </c>
      <c r="K165" s="1" t="s">
        <v>245</v>
      </c>
      <c r="L165" s="1" t="s">
        <v>21</v>
      </c>
      <c r="M165" s="1" t="s">
        <v>21</v>
      </c>
      <c r="N165" s="1" t="s">
        <v>40</v>
      </c>
      <c r="O165" s="2">
        <v>43100</v>
      </c>
      <c r="P165" s="2">
        <v>43131</v>
      </c>
      <c r="Q165" s="1" t="s">
        <v>22</v>
      </c>
    </row>
    <row r="166" spans="1:17" x14ac:dyDescent="0.25">
      <c r="A166" s="1" t="s">
        <v>23</v>
      </c>
      <c r="B166" s="1" t="s">
        <v>24</v>
      </c>
      <c r="C166" s="1" t="s">
        <v>38</v>
      </c>
      <c r="D166" s="1" t="s">
        <v>333</v>
      </c>
      <c r="E166" s="1" t="s">
        <v>261</v>
      </c>
      <c r="F166" s="1" t="s">
        <v>19</v>
      </c>
      <c r="G166" s="1" t="s">
        <v>51</v>
      </c>
      <c r="H166" s="1" t="s">
        <v>45</v>
      </c>
      <c r="I166" s="1" t="s">
        <v>21</v>
      </c>
      <c r="J166" s="3">
        <v>96</v>
      </c>
      <c r="K166" s="1" t="s">
        <v>52</v>
      </c>
      <c r="L166" s="1" t="s">
        <v>21</v>
      </c>
      <c r="M166" s="1" t="s">
        <v>21</v>
      </c>
      <c r="N166" s="1" t="s">
        <v>38</v>
      </c>
      <c r="O166" s="2">
        <v>43100</v>
      </c>
      <c r="P166" s="2">
        <v>43130</v>
      </c>
      <c r="Q166" s="1" t="s">
        <v>22</v>
      </c>
    </row>
    <row r="167" spans="1:17" x14ac:dyDescent="0.25">
      <c r="A167" s="1" t="s">
        <v>39</v>
      </c>
      <c r="B167" s="1" t="s">
        <v>24</v>
      </c>
      <c r="C167" s="1" t="s">
        <v>40</v>
      </c>
      <c r="D167" s="1" t="s">
        <v>333</v>
      </c>
      <c r="E167" s="1" t="s">
        <v>261</v>
      </c>
      <c r="F167" s="1" t="s">
        <v>19</v>
      </c>
      <c r="G167" s="1" t="s">
        <v>51</v>
      </c>
      <c r="H167" s="1" t="s">
        <v>45</v>
      </c>
      <c r="I167" s="1" t="s">
        <v>21</v>
      </c>
      <c r="J167" s="3">
        <v>-242</v>
      </c>
      <c r="K167" s="1" t="s">
        <v>52</v>
      </c>
      <c r="L167" s="1" t="s">
        <v>21</v>
      </c>
      <c r="M167" s="1" t="s">
        <v>21</v>
      </c>
      <c r="N167" s="1" t="s">
        <v>40</v>
      </c>
      <c r="O167" s="2">
        <v>43100</v>
      </c>
      <c r="P167" s="2">
        <v>43131</v>
      </c>
      <c r="Q167" s="1" t="s">
        <v>22</v>
      </c>
    </row>
    <row r="168" spans="1:17" x14ac:dyDescent="0.25">
      <c r="A168" s="1" t="s">
        <v>23</v>
      </c>
      <c r="B168" s="1" t="s">
        <v>24</v>
      </c>
      <c r="C168" s="1" t="s">
        <v>38</v>
      </c>
      <c r="D168" s="1" t="s">
        <v>344</v>
      </c>
      <c r="E168" s="1" t="s">
        <v>261</v>
      </c>
      <c r="F168" s="1" t="s">
        <v>19</v>
      </c>
      <c r="G168" s="1" t="s">
        <v>127</v>
      </c>
      <c r="H168" s="1" t="s">
        <v>32</v>
      </c>
      <c r="I168" s="1" t="s">
        <v>21</v>
      </c>
      <c r="J168" s="3">
        <v>12</v>
      </c>
      <c r="K168" s="1" t="s">
        <v>104</v>
      </c>
      <c r="L168" s="1" t="s">
        <v>21</v>
      </c>
      <c r="M168" s="1" t="s">
        <v>21</v>
      </c>
      <c r="N168" s="1" t="s">
        <v>38</v>
      </c>
      <c r="O168" s="2">
        <v>43100</v>
      </c>
      <c r="P168" s="2">
        <v>43130</v>
      </c>
      <c r="Q168" s="1" t="s">
        <v>22</v>
      </c>
    </row>
    <row r="169" spans="1:17" x14ac:dyDescent="0.25">
      <c r="A169" s="1" t="s">
        <v>39</v>
      </c>
      <c r="B169" s="1" t="s">
        <v>24</v>
      </c>
      <c r="C169" s="1" t="s">
        <v>40</v>
      </c>
      <c r="D169" s="1" t="s">
        <v>344</v>
      </c>
      <c r="E169" s="1" t="s">
        <v>261</v>
      </c>
      <c r="F169" s="1" t="s">
        <v>19</v>
      </c>
      <c r="G169" s="1" t="s">
        <v>127</v>
      </c>
      <c r="H169" s="1" t="s">
        <v>32</v>
      </c>
      <c r="I169" s="1" t="s">
        <v>21</v>
      </c>
      <c r="J169" s="3">
        <v>48</v>
      </c>
      <c r="K169" s="1" t="s">
        <v>104</v>
      </c>
      <c r="L169" s="1" t="s">
        <v>21</v>
      </c>
      <c r="M169" s="1" t="s">
        <v>21</v>
      </c>
      <c r="N169" s="1" t="s">
        <v>40</v>
      </c>
      <c r="O169" s="2">
        <v>43100</v>
      </c>
      <c r="P169" s="2">
        <v>43131</v>
      </c>
      <c r="Q169" s="1" t="s">
        <v>22</v>
      </c>
    </row>
    <row r="170" spans="1:17" x14ac:dyDescent="0.25">
      <c r="A170" s="1" t="s">
        <v>23</v>
      </c>
      <c r="B170" s="1" t="s">
        <v>24</v>
      </c>
      <c r="C170" s="1" t="s">
        <v>38</v>
      </c>
      <c r="D170" s="1" t="s">
        <v>324</v>
      </c>
      <c r="E170" s="1" t="s">
        <v>261</v>
      </c>
      <c r="F170" s="1" t="s">
        <v>19</v>
      </c>
      <c r="G170" s="1" t="s">
        <v>41</v>
      </c>
      <c r="H170" s="1" t="s">
        <v>32</v>
      </c>
      <c r="I170" s="1" t="s">
        <v>21</v>
      </c>
      <c r="J170" s="3">
        <v>-7831</v>
      </c>
      <c r="K170" s="1" t="s">
        <v>42</v>
      </c>
      <c r="L170" s="1" t="s">
        <v>21</v>
      </c>
      <c r="M170" s="1" t="s">
        <v>21</v>
      </c>
      <c r="N170" s="1" t="s">
        <v>38</v>
      </c>
      <c r="O170" s="2">
        <v>43100</v>
      </c>
      <c r="P170" s="2">
        <v>43130</v>
      </c>
      <c r="Q170" s="1" t="s">
        <v>22</v>
      </c>
    </row>
    <row r="171" spans="1:17" x14ac:dyDescent="0.25">
      <c r="A171" s="1" t="s">
        <v>39</v>
      </c>
      <c r="B171" s="1" t="s">
        <v>24</v>
      </c>
      <c r="C171" s="1" t="s">
        <v>40</v>
      </c>
      <c r="D171" s="1" t="s">
        <v>324</v>
      </c>
      <c r="E171" s="1" t="s">
        <v>261</v>
      </c>
      <c r="F171" s="1" t="s">
        <v>19</v>
      </c>
      <c r="G171" s="1" t="s">
        <v>41</v>
      </c>
      <c r="H171" s="1" t="s">
        <v>32</v>
      </c>
      <c r="I171" s="1" t="s">
        <v>21</v>
      </c>
      <c r="J171" s="3">
        <v>3195</v>
      </c>
      <c r="K171" s="1" t="s">
        <v>42</v>
      </c>
      <c r="L171" s="1" t="s">
        <v>21</v>
      </c>
      <c r="M171" s="1" t="s">
        <v>21</v>
      </c>
      <c r="N171" s="1" t="s">
        <v>40</v>
      </c>
      <c r="O171" s="2">
        <v>43100</v>
      </c>
      <c r="P171" s="2">
        <v>43131</v>
      </c>
      <c r="Q171" s="1" t="s">
        <v>22</v>
      </c>
    </row>
    <row r="172" spans="1:17" x14ac:dyDescent="0.25">
      <c r="A172" s="1" t="s">
        <v>39</v>
      </c>
      <c r="B172" s="1" t="s">
        <v>24</v>
      </c>
      <c r="C172" s="1" t="s">
        <v>137</v>
      </c>
      <c r="D172" s="1" t="s">
        <v>355</v>
      </c>
      <c r="E172" s="1" t="s">
        <v>261</v>
      </c>
      <c r="F172" s="1" t="s">
        <v>19</v>
      </c>
      <c r="G172" s="1" t="s">
        <v>132</v>
      </c>
      <c r="H172" s="1" t="s">
        <v>20</v>
      </c>
      <c r="I172" s="1" t="s">
        <v>21</v>
      </c>
      <c r="J172" s="3">
        <v>-543</v>
      </c>
      <c r="K172" s="1" t="s">
        <v>140</v>
      </c>
      <c r="L172" s="1" t="s">
        <v>21</v>
      </c>
      <c r="M172" s="1" t="s">
        <v>21</v>
      </c>
      <c r="N172" s="1" t="s">
        <v>137</v>
      </c>
      <c r="O172" s="2">
        <v>43159</v>
      </c>
      <c r="P172" s="2">
        <v>43173</v>
      </c>
      <c r="Q172" s="1" t="s">
        <v>22</v>
      </c>
    </row>
    <row r="173" spans="1:17" x14ac:dyDescent="0.25">
      <c r="A173" s="1" t="s">
        <v>39</v>
      </c>
      <c r="B173" s="1" t="s">
        <v>24</v>
      </c>
      <c r="C173" s="1" t="s">
        <v>90</v>
      </c>
      <c r="D173" s="1" t="s">
        <v>356</v>
      </c>
      <c r="E173" s="1" t="s">
        <v>261</v>
      </c>
      <c r="F173" s="1" t="s">
        <v>91</v>
      </c>
      <c r="G173" s="1" t="s">
        <v>44</v>
      </c>
      <c r="H173" s="1" t="s">
        <v>20</v>
      </c>
      <c r="I173" s="1" t="s">
        <v>21</v>
      </c>
      <c r="J173" s="3">
        <v>299</v>
      </c>
      <c r="K173" s="1" t="s">
        <v>92</v>
      </c>
      <c r="L173" s="1" t="s">
        <v>21</v>
      </c>
      <c r="M173" s="1" t="s">
        <v>21</v>
      </c>
      <c r="N173" s="1" t="s">
        <v>90</v>
      </c>
      <c r="O173" s="2">
        <v>43159</v>
      </c>
      <c r="P173" s="2">
        <v>43173</v>
      </c>
      <c r="Q173" s="1" t="s">
        <v>22</v>
      </c>
    </row>
    <row r="174" spans="1:17" x14ac:dyDescent="0.25">
      <c r="A174" s="1" t="s">
        <v>39</v>
      </c>
      <c r="B174" s="1" t="s">
        <v>24</v>
      </c>
      <c r="C174" s="1" t="s">
        <v>90</v>
      </c>
      <c r="D174" s="1" t="s">
        <v>357</v>
      </c>
      <c r="E174" s="1" t="s">
        <v>261</v>
      </c>
      <c r="F174" s="1" t="s">
        <v>91</v>
      </c>
      <c r="G174" s="1" t="s">
        <v>44</v>
      </c>
      <c r="H174" s="1" t="s">
        <v>45</v>
      </c>
      <c r="I174" s="1" t="s">
        <v>21</v>
      </c>
      <c r="J174" s="3">
        <v>526</v>
      </c>
      <c r="K174" s="1" t="s">
        <v>97</v>
      </c>
      <c r="L174" s="1" t="s">
        <v>21</v>
      </c>
      <c r="M174" s="1" t="s">
        <v>21</v>
      </c>
      <c r="N174" s="1" t="s">
        <v>90</v>
      </c>
      <c r="O174" s="2">
        <v>43159</v>
      </c>
      <c r="P174" s="2">
        <v>43173</v>
      </c>
      <c r="Q174" s="1" t="s">
        <v>22</v>
      </c>
    </row>
    <row r="175" spans="1:17" x14ac:dyDescent="0.25">
      <c r="A175" s="1" t="s">
        <v>39</v>
      </c>
      <c r="B175" s="1" t="s">
        <v>24</v>
      </c>
      <c r="C175" s="1" t="s">
        <v>90</v>
      </c>
      <c r="D175" s="1" t="s">
        <v>356</v>
      </c>
      <c r="E175" s="1" t="s">
        <v>261</v>
      </c>
      <c r="F175" s="1" t="s">
        <v>91</v>
      </c>
      <c r="G175" s="1" t="s">
        <v>44</v>
      </c>
      <c r="H175" s="1" t="s">
        <v>20</v>
      </c>
      <c r="I175" s="1" t="s">
        <v>21</v>
      </c>
      <c r="J175" s="3">
        <v>601</v>
      </c>
      <c r="K175" s="1" t="s">
        <v>98</v>
      </c>
      <c r="L175" s="1" t="s">
        <v>21</v>
      </c>
      <c r="M175" s="1" t="s">
        <v>21</v>
      </c>
      <c r="N175" s="1" t="s">
        <v>90</v>
      </c>
      <c r="O175" s="2">
        <v>43159</v>
      </c>
      <c r="P175" s="2">
        <v>43173</v>
      </c>
      <c r="Q175" s="1" t="s">
        <v>22</v>
      </c>
    </row>
    <row r="176" spans="1:17" x14ac:dyDescent="0.25">
      <c r="A176" s="1" t="s">
        <v>39</v>
      </c>
      <c r="B176" s="1" t="s">
        <v>24</v>
      </c>
      <c r="C176" s="1" t="s">
        <v>90</v>
      </c>
      <c r="D176" s="1" t="s">
        <v>358</v>
      </c>
      <c r="E176" s="1" t="s">
        <v>261</v>
      </c>
      <c r="F176" s="1" t="s">
        <v>91</v>
      </c>
      <c r="G176" s="1" t="s">
        <v>135</v>
      </c>
      <c r="H176" s="1" t="s">
        <v>20</v>
      </c>
      <c r="I176" s="1" t="s">
        <v>21</v>
      </c>
      <c r="J176" s="3">
        <v>1369</v>
      </c>
      <c r="K176" s="1" t="s">
        <v>136</v>
      </c>
      <c r="L176" s="1" t="s">
        <v>21</v>
      </c>
      <c r="M176" s="1" t="s">
        <v>21</v>
      </c>
      <c r="N176" s="1" t="s">
        <v>90</v>
      </c>
      <c r="O176" s="2">
        <v>43159</v>
      </c>
      <c r="P176" s="2">
        <v>43173</v>
      </c>
      <c r="Q176" s="1" t="s">
        <v>22</v>
      </c>
    </row>
    <row r="177" spans="1:17" x14ac:dyDescent="0.25">
      <c r="A177" s="1" t="s">
        <v>39</v>
      </c>
      <c r="B177" s="1" t="s">
        <v>24</v>
      </c>
      <c r="C177" s="1" t="s">
        <v>137</v>
      </c>
      <c r="D177" s="1" t="s">
        <v>355</v>
      </c>
      <c r="E177" s="1" t="s">
        <v>261</v>
      </c>
      <c r="F177" s="1" t="s">
        <v>19</v>
      </c>
      <c r="G177" s="1" t="s">
        <v>132</v>
      </c>
      <c r="H177" s="1" t="s">
        <v>20</v>
      </c>
      <c r="I177" s="1" t="s">
        <v>21</v>
      </c>
      <c r="J177" s="3">
        <v>-93</v>
      </c>
      <c r="K177" s="1" t="s">
        <v>138</v>
      </c>
      <c r="L177" s="1" t="s">
        <v>21</v>
      </c>
      <c r="M177" s="1" t="s">
        <v>21</v>
      </c>
      <c r="N177" s="1" t="s">
        <v>137</v>
      </c>
      <c r="O177" s="2">
        <v>43159</v>
      </c>
      <c r="P177" s="2">
        <v>43173</v>
      </c>
      <c r="Q177" s="1" t="s">
        <v>22</v>
      </c>
    </row>
    <row r="178" spans="1:17" x14ac:dyDescent="0.25">
      <c r="A178" s="1" t="s">
        <v>39</v>
      </c>
      <c r="B178" s="1" t="s">
        <v>24</v>
      </c>
      <c r="C178" s="1" t="s">
        <v>137</v>
      </c>
      <c r="D178" s="1" t="s">
        <v>355</v>
      </c>
      <c r="E178" s="1" t="s">
        <v>261</v>
      </c>
      <c r="F178" s="1" t="s">
        <v>19</v>
      </c>
      <c r="G178" s="1" t="s">
        <v>132</v>
      </c>
      <c r="H178" s="1" t="s">
        <v>20</v>
      </c>
      <c r="I178" s="1" t="s">
        <v>21</v>
      </c>
      <c r="J178" s="3">
        <v>-107</v>
      </c>
      <c r="K178" s="1" t="s">
        <v>145</v>
      </c>
      <c r="L178" s="1" t="s">
        <v>21</v>
      </c>
      <c r="M178" s="1" t="s">
        <v>21</v>
      </c>
      <c r="N178" s="1" t="s">
        <v>137</v>
      </c>
      <c r="O178" s="2">
        <v>43159</v>
      </c>
      <c r="P178" s="2">
        <v>43173</v>
      </c>
      <c r="Q178" s="1" t="s">
        <v>22</v>
      </c>
    </row>
    <row r="179" spans="1:17" x14ac:dyDescent="0.25">
      <c r="A179" s="1" t="s">
        <v>39</v>
      </c>
      <c r="B179" s="1" t="s">
        <v>24</v>
      </c>
      <c r="C179" s="1" t="s">
        <v>137</v>
      </c>
      <c r="D179" s="1" t="s">
        <v>355</v>
      </c>
      <c r="E179" s="1" t="s">
        <v>261</v>
      </c>
      <c r="F179" s="1" t="s">
        <v>19</v>
      </c>
      <c r="G179" s="1" t="s">
        <v>132</v>
      </c>
      <c r="H179" s="1" t="s">
        <v>20</v>
      </c>
      <c r="I179" s="1" t="s">
        <v>21</v>
      </c>
      <c r="J179" s="3">
        <v>-53</v>
      </c>
      <c r="K179" s="1" t="s">
        <v>146</v>
      </c>
      <c r="L179" s="1" t="s">
        <v>21</v>
      </c>
      <c r="M179" s="1" t="s">
        <v>21</v>
      </c>
      <c r="N179" s="1" t="s">
        <v>137</v>
      </c>
      <c r="O179" s="2">
        <v>43159</v>
      </c>
      <c r="P179" s="2">
        <v>43173</v>
      </c>
      <c r="Q179" s="1" t="s">
        <v>22</v>
      </c>
    </row>
    <row r="180" spans="1:17" x14ac:dyDescent="0.25">
      <c r="A180" s="1" t="s">
        <v>39</v>
      </c>
      <c r="B180" s="1" t="s">
        <v>24</v>
      </c>
      <c r="C180" s="1" t="s">
        <v>90</v>
      </c>
      <c r="D180" s="1" t="s">
        <v>359</v>
      </c>
      <c r="E180" s="1" t="s">
        <v>261</v>
      </c>
      <c r="F180" s="1" t="s">
        <v>91</v>
      </c>
      <c r="G180" s="1" t="s">
        <v>143</v>
      </c>
      <c r="H180" s="1" t="s">
        <v>20</v>
      </c>
      <c r="I180" s="1" t="s">
        <v>21</v>
      </c>
      <c r="J180" s="3">
        <v>3063</v>
      </c>
      <c r="K180" s="1" t="s">
        <v>144</v>
      </c>
      <c r="L180" s="1" t="s">
        <v>21</v>
      </c>
      <c r="M180" s="1" t="s">
        <v>21</v>
      </c>
      <c r="N180" s="1" t="s">
        <v>90</v>
      </c>
      <c r="O180" s="2">
        <v>43159</v>
      </c>
      <c r="P180" s="2">
        <v>43173</v>
      </c>
      <c r="Q180" s="1" t="s">
        <v>22</v>
      </c>
    </row>
    <row r="181" spans="1:17" x14ac:dyDescent="0.25">
      <c r="A181" s="1" t="s">
        <v>39</v>
      </c>
      <c r="B181" s="1" t="s">
        <v>24</v>
      </c>
      <c r="C181" s="1" t="s">
        <v>137</v>
      </c>
      <c r="D181" s="1" t="s">
        <v>355</v>
      </c>
      <c r="E181" s="1" t="s">
        <v>261</v>
      </c>
      <c r="F181" s="1" t="s">
        <v>19</v>
      </c>
      <c r="G181" s="1" t="s">
        <v>132</v>
      </c>
      <c r="H181" s="1" t="s">
        <v>20</v>
      </c>
      <c r="I181" s="1" t="s">
        <v>21</v>
      </c>
      <c r="J181" s="3">
        <v>-243</v>
      </c>
      <c r="K181" s="1" t="s">
        <v>139</v>
      </c>
      <c r="L181" s="1" t="s">
        <v>21</v>
      </c>
      <c r="M181" s="1" t="s">
        <v>21</v>
      </c>
      <c r="N181" s="1" t="s">
        <v>137</v>
      </c>
      <c r="O181" s="2">
        <v>43159</v>
      </c>
      <c r="P181" s="2">
        <v>43173</v>
      </c>
      <c r="Q181" s="1" t="s">
        <v>22</v>
      </c>
    </row>
  </sheetData>
  <autoFilter ref="A1:Q181"/>
  <sortState ref="A2:Q1557">
    <sortCondition ref="O2:O1557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E9" sqref="E9"/>
    </sheetView>
  </sheetViews>
  <sheetFormatPr defaultRowHeight="15" x14ac:dyDescent="0.25"/>
  <cols>
    <col min="1" max="1" width="14.85546875" bestFit="1" customWidth="1"/>
    <col min="2" max="2" width="16.28515625" customWidth="1"/>
    <col min="3" max="3" width="10.7109375" bestFit="1" customWidth="1"/>
    <col min="4" max="4" width="10.5703125" bestFit="1" customWidth="1"/>
    <col min="5" max="5" width="10.7109375" bestFit="1" customWidth="1"/>
    <col min="6" max="6" width="10.5703125" bestFit="1" customWidth="1"/>
    <col min="7" max="7" width="11.28515625" bestFit="1" customWidth="1"/>
  </cols>
  <sheetData>
    <row r="3" spans="1:7" x14ac:dyDescent="0.25">
      <c r="A3" s="8" t="s">
        <v>151</v>
      </c>
      <c r="B3" s="8" t="s">
        <v>153</v>
      </c>
    </row>
    <row r="4" spans="1:7" x14ac:dyDescent="0.25">
      <c r="B4" s="79" t="s">
        <v>222</v>
      </c>
      <c r="D4" s="79" t="s">
        <v>223</v>
      </c>
      <c r="E4" s="79" t="s">
        <v>224</v>
      </c>
      <c r="F4" s="79" t="s">
        <v>225</v>
      </c>
      <c r="G4" s="79" t="s">
        <v>150</v>
      </c>
    </row>
    <row r="5" spans="1:7" x14ac:dyDescent="0.25">
      <c r="A5" s="8" t="s">
        <v>149</v>
      </c>
      <c r="B5" s="2">
        <v>43100</v>
      </c>
      <c r="C5" s="2">
        <v>43159</v>
      </c>
      <c r="E5" s="2">
        <v>43100</v>
      </c>
    </row>
    <row r="6" spans="1:7" x14ac:dyDescent="0.25">
      <c r="A6" s="10" t="s">
        <v>261</v>
      </c>
      <c r="B6" s="9">
        <v>-44482</v>
      </c>
      <c r="C6" s="9">
        <v>4097</v>
      </c>
      <c r="D6" s="9">
        <v>-40385</v>
      </c>
      <c r="E6" s="9">
        <v>-53331</v>
      </c>
      <c r="F6" s="9">
        <v>-53331</v>
      </c>
      <c r="G6" s="9">
        <v>-93716</v>
      </c>
    </row>
    <row r="7" spans="1:7" x14ac:dyDescent="0.25">
      <c r="A7" s="10" t="s">
        <v>150</v>
      </c>
      <c r="B7" s="9">
        <v>-44482</v>
      </c>
      <c r="C7" s="9">
        <v>4097</v>
      </c>
      <c r="D7" s="9">
        <v>-40385</v>
      </c>
      <c r="E7" s="9">
        <v>-53331</v>
      </c>
      <c r="F7" s="9">
        <v>-53331</v>
      </c>
      <c r="G7" s="9">
        <v>-93716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"/>
  <sheetViews>
    <sheetView workbookViewId="0">
      <selection activeCell="E9" sqref="E9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39</v>
      </c>
      <c r="B2" s="1" t="s">
        <v>24</v>
      </c>
      <c r="C2" s="1" t="s">
        <v>40</v>
      </c>
      <c r="D2" s="1" t="s">
        <v>252</v>
      </c>
      <c r="E2" s="1" t="s">
        <v>253</v>
      </c>
      <c r="F2" s="1" t="s">
        <v>19</v>
      </c>
      <c r="G2" s="1" t="s">
        <v>227</v>
      </c>
      <c r="H2" s="1" t="s">
        <v>222</v>
      </c>
      <c r="I2" s="1" t="s">
        <v>21</v>
      </c>
      <c r="J2" s="3">
        <v>26064</v>
      </c>
      <c r="K2" s="1" t="s">
        <v>62</v>
      </c>
      <c r="L2" s="1" t="s">
        <v>21</v>
      </c>
      <c r="M2" s="1" t="s">
        <v>21</v>
      </c>
      <c r="N2" s="1" t="s">
        <v>40</v>
      </c>
      <c r="O2" s="2">
        <v>43100</v>
      </c>
      <c r="P2" s="2">
        <v>43131</v>
      </c>
      <c r="Q2" s="1" t="s">
        <v>22</v>
      </c>
    </row>
    <row r="3" spans="1:17" x14ac:dyDescent="0.25">
      <c r="A3" s="1" t="s">
        <v>39</v>
      </c>
      <c r="B3" s="1" t="s">
        <v>24</v>
      </c>
      <c r="C3" s="1" t="s">
        <v>40</v>
      </c>
      <c r="D3" s="1" t="s">
        <v>252</v>
      </c>
      <c r="E3" s="1" t="s">
        <v>253</v>
      </c>
      <c r="F3" s="1" t="s">
        <v>19</v>
      </c>
      <c r="G3" s="1" t="s">
        <v>227</v>
      </c>
      <c r="H3" s="1" t="s">
        <v>222</v>
      </c>
      <c r="I3" s="1" t="s">
        <v>21</v>
      </c>
      <c r="J3" s="3">
        <v>33101</v>
      </c>
      <c r="K3" s="1" t="s">
        <v>134</v>
      </c>
      <c r="L3" s="1" t="s">
        <v>21</v>
      </c>
      <c r="M3" s="1" t="s">
        <v>21</v>
      </c>
      <c r="N3" s="1" t="s">
        <v>40</v>
      </c>
      <c r="O3" s="2">
        <v>43100</v>
      </c>
      <c r="P3" s="2">
        <v>43131</v>
      </c>
      <c r="Q3" s="1" t="s">
        <v>22</v>
      </c>
    </row>
    <row r="4" spans="1:17" x14ac:dyDescent="0.25">
      <c r="A4" s="1" t="s">
        <v>39</v>
      </c>
      <c r="B4" s="1" t="s">
        <v>24</v>
      </c>
      <c r="C4" s="1" t="s">
        <v>40</v>
      </c>
      <c r="D4" s="1" t="s">
        <v>254</v>
      </c>
      <c r="E4" s="1" t="s">
        <v>56</v>
      </c>
      <c r="F4" s="1" t="s">
        <v>19</v>
      </c>
      <c r="G4" s="1" t="s">
        <v>227</v>
      </c>
      <c r="H4" s="1" t="s">
        <v>222</v>
      </c>
      <c r="I4" s="1" t="s">
        <v>21</v>
      </c>
      <c r="J4" s="3">
        <v>-21742</v>
      </c>
      <c r="K4" s="1" t="s">
        <v>62</v>
      </c>
      <c r="L4" s="1" t="s">
        <v>21</v>
      </c>
      <c r="M4" s="1" t="s">
        <v>21</v>
      </c>
      <c r="N4" s="1" t="s">
        <v>40</v>
      </c>
      <c r="O4" s="2">
        <v>43100</v>
      </c>
      <c r="P4" s="2">
        <v>43131</v>
      </c>
      <c r="Q4" s="1" t="s">
        <v>22</v>
      </c>
    </row>
    <row r="5" spans="1:17" x14ac:dyDescent="0.25">
      <c r="A5" s="1" t="s">
        <v>39</v>
      </c>
      <c r="B5" s="1" t="s">
        <v>24</v>
      </c>
      <c r="C5" s="1" t="s">
        <v>40</v>
      </c>
      <c r="D5" s="1" t="s">
        <v>255</v>
      </c>
      <c r="E5" s="1" t="s">
        <v>256</v>
      </c>
      <c r="F5" s="1" t="s">
        <v>19</v>
      </c>
      <c r="G5" s="1" t="s">
        <v>227</v>
      </c>
      <c r="H5" s="1" t="s">
        <v>222</v>
      </c>
      <c r="I5" s="1" t="s">
        <v>21</v>
      </c>
      <c r="J5" s="3">
        <v>20626</v>
      </c>
      <c r="K5" s="1" t="s">
        <v>126</v>
      </c>
      <c r="L5" s="1" t="s">
        <v>21</v>
      </c>
      <c r="M5" s="1" t="s">
        <v>21</v>
      </c>
      <c r="N5" s="1" t="s">
        <v>40</v>
      </c>
      <c r="O5" s="2">
        <v>43100</v>
      </c>
      <c r="P5" s="2">
        <v>43131</v>
      </c>
      <c r="Q5" s="1" t="s">
        <v>22</v>
      </c>
    </row>
    <row r="6" spans="1:17" x14ac:dyDescent="0.25">
      <c r="A6" s="1" t="s">
        <v>39</v>
      </c>
      <c r="B6" s="1" t="s">
        <v>24</v>
      </c>
      <c r="C6" s="1" t="s">
        <v>40</v>
      </c>
      <c r="D6" s="1" t="s">
        <v>257</v>
      </c>
      <c r="E6" s="1" t="s">
        <v>241</v>
      </c>
      <c r="F6" s="1" t="s">
        <v>19</v>
      </c>
      <c r="G6" s="1" t="s">
        <v>227</v>
      </c>
      <c r="H6" s="1" t="s">
        <v>222</v>
      </c>
      <c r="I6" s="1" t="s">
        <v>21</v>
      </c>
      <c r="J6" s="3">
        <v>11180</v>
      </c>
      <c r="K6" s="1" t="s">
        <v>245</v>
      </c>
      <c r="L6" s="1" t="s">
        <v>21</v>
      </c>
      <c r="M6" s="1" t="s">
        <v>21</v>
      </c>
      <c r="N6" s="1" t="s">
        <v>40</v>
      </c>
      <c r="O6" s="2">
        <v>43100</v>
      </c>
      <c r="P6" s="2">
        <v>43131</v>
      </c>
      <c r="Q6" s="1" t="s">
        <v>22</v>
      </c>
    </row>
    <row r="7" spans="1:17" x14ac:dyDescent="0.25">
      <c r="A7" s="1" t="s">
        <v>39</v>
      </c>
      <c r="B7" s="1" t="s">
        <v>24</v>
      </c>
      <c r="C7" s="1" t="s">
        <v>40</v>
      </c>
      <c r="D7" s="1" t="s">
        <v>257</v>
      </c>
      <c r="E7" s="1" t="s">
        <v>241</v>
      </c>
      <c r="F7" s="1" t="s">
        <v>19</v>
      </c>
      <c r="G7" s="1" t="s">
        <v>227</v>
      </c>
      <c r="H7" s="1" t="s">
        <v>222</v>
      </c>
      <c r="I7" s="1" t="s">
        <v>21</v>
      </c>
      <c r="J7" s="3">
        <v>48125</v>
      </c>
      <c r="K7" s="1" t="s">
        <v>126</v>
      </c>
      <c r="L7" s="1" t="s">
        <v>21</v>
      </c>
      <c r="M7" s="1" t="s">
        <v>21</v>
      </c>
      <c r="N7" s="1" t="s">
        <v>40</v>
      </c>
      <c r="O7" s="2">
        <v>43100</v>
      </c>
      <c r="P7" s="2">
        <v>43131</v>
      </c>
      <c r="Q7" s="1" t="s">
        <v>22</v>
      </c>
    </row>
    <row r="8" spans="1:17" x14ac:dyDescent="0.25">
      <c r="A8" s="1" t="s">
        <v>39</v>
      </c>
      <c r="B8" s="1" t="s">
        <v>24</v>
      </c>
      <c r="C8" s="1" t="s">
        <v>40</v>
      </c>
      <c r="D8" s="1" t="s">
        <v>258</v>
      </c>
      <c r="E8" s="1" t="s">
        <v>259</v>
      </c>
      <c r="F8" s="1" t="s">
        <v>19</v>
      </c>
      <c r="G8" s="1" t="s">
        <v>227</v>
      </c>
      <c r="H8" s="1" t="s">
        <v>222</v>
      </c>
      <c r="I8" s="1" t="s">
        <v>21</v>
      </c>
      <c r="J8" s="3">
        <v>882312</v>
      </c>
      <c r="K8" s="1" t="s">
        <v>62</v>
      </c>
      <c r="L8" s="1" t="s">
        <v>21</v>
      </c>
      <c r="M8" s="1" t="s">
        <v>21</v>
      </c>
      <c r="N8" s="1" t="s">
        <v>40</v>
      </c>
      <c r="O8" s="2">
        <v>43100</v>
      </c>
      <c r="P8" s="2">
        <v>43131</v>
      </c>
      <c r="Q8" s="1" t="s">
        <v>22</v>
      </c>
    </row>
    <row r="9" spans="1:17" x14ac:dyDescent="0.25">
      <c r="A9" s="1" t="s">
        <v>39</v>
      </c>
      <c r="B9" s="1" t="s">
        <v>24</v>
      </c>
      <c r="C9" s="1" t="s">
        <v>40</v>
      </c>
      <c r="D9" s="1" t="s">
        <v>258</v>
      </c>
      <c r="E9" s="1" t="s">
        <v>259</v>
      </c>
      <c r="F9" s="1" t="s">
        <v>19</v>
      </c>
      <c r="G9" s="1" t="s">
        <v>227</v>
      </c>
      <c r="H9" s="1" t="s">
        <v>222</v>
      </c>
      <c r="I9" s="1" t="s">
        <v>21</v>
      </c>
      <c r="J9" s="3">
        <v>466770</v>
      </c>
      <c r="K9" s="1" t="s">
        <v>134</v>
      </c>
      <c r="L9" s="1" t="s">
        <v>21</v>
      </c>
      <c r="M9" s="1" t="s">
        <v>21</v>
      </c>
      <c r="N9" s="1" t="s">
        <v>40</v>
      </c>
      <c r="O9" s="2">
        <v>43100</v>
      </c>
      <c r="P9" s="2">
        <v>43131</v>
      </c>
      <c r="Q9" s="1" t="s">
        <v>22</v>
      </c>
    </row>
    <row r="10" spans="1:17" x14ac:dyDescent="0.25">
      <c r="A10" s="1" t="s">
        <v>39</v>
      </c>
      <c r="B10" s="1" t="s">
        <v>24</v>
      </c>
      <c r="C10" s="1" t="s">
        <v>40</v>
      </c>
      <c r="D10" s="1" t="s">
        <v>260</v>
      </c>
      <c r="E10" s="1" t="s">
        <v>261</v>
      </c>
      <c r="F10" s="1" t="s">
        <v>19</v>
      </c>
      <c r="G10" s="1" t="s">
        <v>227</v>
      </c>
      <c r="H10" s="1" t="s">
        <v>222</v>
      </c>
      <c r="I10" s="1" t="s">
        <v>21</v>
      </c>
      <c r="J10" s="3">
        <v>-11258</v>
      </c>
      <c r="K10" s="1" t="s">
        <v>134</v>
      </c>
      <c r="L10" s="1" t="s">
        <v>21</v>
      </c>
      <c r="M10" s="1" t="s">
        <v>21</v>
      </c>
      <c r="N10" s="1" t="s">
        <v>40</v>
      </c>
      <c r="O10" s="2">
        <v>43100</v>
      </c>
      <c r="P10" s="2">
        <v>43131</v>
      </c>
      <c r="Q10" s="1" t="s">
        <v>22</v>
      </c>
    </row>
    <row r="11" spans="1:17" x14ac:dyDescent="0.25">
      <c r="A11" s="1" t="s">
        <v>39</v>
      </c>
      <c r="B11" s="1" t="s">
        <v>24</v>
      </c>
      <c r="C11" s="1" t="s">
        <v>40</v>
      </c>
      <c r="D11" s="1" t="s">
        <v>228</v>
      </c>
      <c r="E11" s="1" t="s">
        <v>30</v>
      </c>
      <c r="F11" s="1" t="s">
        <v>19</v>
      </c>
      <c r="G11" s="1" t="s">
        <v>227</v>
      </c>
      <c r="H11" s="1" t="s">
        <v>222</v>
      </c>
      <c r="I11" s="1" t="s">
        <v>21</v>
      </c>
      <c r="J11" s="3">
        <v>23976</v>
      </c>
      <c r="K11" s="1" t="s">
        <v>62</v>
      </c>
      <c r="L11" s="1" t="s">
        <v>21</v>
      </c>
      <c r="M11" s="1" t="s">
        <v>21</v>
      </c>
      <c r="N11" s="1" t="s">
        <v>40</v>
      </c>
      <c r="O11" s="2">
        <v>43100</v>
      </c>
      <c r="P11" s="2">
        <v>43131</v>
      </c>
      <c r="Q11" s="1" t="s">
        <v>22</v>
      </c>
    </row>
    <row r="12" spans="1:17" x14ac:dyDescent="0.25">
      <c r="A12" s="1" t="s">
        <v>39</v>
      </c>
      <c r="B12" s="1" t="s">
        <v>24</v>
      </c>
      <c r="C12" s="1" t="s">
        <v>40</v>
      </c>
      <c r="D12" s="1" t="s">
        <v>252</v>
      </c>
      <c r="E12" s="1" t="s">
        <v>253</v>
      </c>
      <c r="F12" s="1" t="s">
        <v>19</v>
      </c>
      <c r="G12" s="1" t="s">
        <v>227</v>
      </c>
      <c r="H12" s="1" t="s">
        <v>222</v>
      </c>
      <c r="I12" s="1" t="s">
        <v>21</v>
      </c>
      <c r="J12" s="3">
        <v>16993</v>
      </c>
      <c r="K12" s="1" t="s">
        <v>125</v>
      </c>
      <c r="L12" s="1" t="s">
        <v>21</v>
      </c>
      <c r="M12" s="1" t="s">
        <v>21</v>
      </c>
      <c r="N12" s="1" t="s">
        <v>40</v>
      </c>
      <c r="O12" s="2">
        <v>43100</v>
      </c>
      <c r="P12" s="2">
        <v>43131</v>
      </c>
      <c r="Q12" s="1" t="s">
        <v>22</v>
      </c>
    </row>
    <row r="13" spans="1:17" x14ac:dyDescent="0.25">
      <c r="A13" s="1" t="s">
        <v>39</v>
      </c>
      <c r="B13" s="1" t="s">
        <v>24</v>
      </c>
      <c r="C13" s="1" t="s">
        <v>40</v>
      </c>
      <c r="D13" s="1" t="s">
        <v>254</v>
      </c>
      <c r="E13" s="1" t="s">
        <v>56</v>
      </c>
      <c r="F13" s="1" t="s">
        <v>19</v>
      </c>
      <c r="G13" s="1" t="s">
        <v>227</v>
      </c>
      <c r="H13" s="1" t="s">
        <v>222</v>
      </c>
      <c r="I13" s="1" t="s">
        <v>21</v>
      </c>
      <c r="J13" s="3">
        <v>19616</v>
      </c>
      <c r="K13" s="1" t="s">
        <v>125</v>
      </c>
      <c r="L13" s="1" t="s">
        <v>21</v>
      </c>
      <c r="M13" s="1" t="s">
        <v>21</v>
      </c>
      <c r="N13" s="1" t="s">
        <v>40</v>
      </c>
      <c r="O13" s="2">
        <v>43100</v>
      </c>
      <c r="P13" s="2">
        <v>43131</v>
      </c>
      <c r="Q13" s="1" t="s">
        <v>22</v>
      </c>
    </row>
    <row r="14" spans="1:17" x14ac:dyDescent="0.25">
      <c r="A14" s="1" t="s">
        <v>39</v>
      </c>
      <c r="B14" s="1" t="s">
        <v>24</v>
      </c>
      <c r="C14" s="1" t="s">
        <v>40</v>
      </c>
      <c r="D14" s="1" t="s">
        <v>255</v>
      </c>
      <c r="E14" s="1" t="s">
        <v>256</v>
      </c>
      <c r="F14" s="1" t="s">
        <v>19</v>
      </c>
      <c r="G14" s="1" t="s">
        <v>227</v>
      </c>
      <c r="H14" s="1" t="s">
        <v>222</v>
      </c>
      <c r="I14" s="1" t="s">
        <v>21</v>
      </c>
      <c r="J14" s="3">
        <v>-120967</v>
      </c>
      <c r="K14" s="1" t="s">
        <v>134</v>
      </c>
      <c r="L14" s="1" t="s">
        <v>21</v>
      </c>
      <c r="M14" s="1" t="s">
        <v>21</v>
      </c>
      <c r="N14" s="1" t="s">
        <v>40</v>
      </c>
      <c r="O14" s="2">
        <v>43100</v>
      </c>
      <c r="P14" s="2">
        <v>43131</v>
      </c>
      <c r="Q14" s="1" t="s">
        <v>22</v>
      </c>
    </row>
    <row r="15" spans="1:17" x14ac:dyDescent="0.25">
      <c r="A15" s="1" t="s">
        <v>39</v>
      </c>
      <c r="B15" s="1" t="s">
        <v>24</v>
      </c>
      <c r="C15" s="1" t="s">
        <v>40</v>
      </c>
      <c r="D15" s="1" t="s">
        <v>262</v>
      </c>
      <c r="E15" s="1" t="s">
        <v>240</v>
      </c>
      <c r="F15" s="1" t="s">
        <v>19</v>
      </c>
      <c r="G15" s="1" t="s">
        <v>227</v>
      </c>
      <c r="H15" s="1" t="s">
        <v>222</v>
      </c>
      <c r="I15" s="1" t="s">
        <v>21</v>
      </c>
      <c r="J15" s="3">
        <v>-1031</v>
      </c>
      <c r="K15" s="1" t="s">
        <v>126</v>
      </c>
      <c r="L15" s="1" t="s">
        <v>21</v>
      </c>
      <c r="M15" s="1" t="s">
        <v>21</v>
      </c>
      <c r="N15" s="1" t="s">
        <v>40</v>
      </c>
      <c r="O15" s="2">
        <v>43100</v>
      </c>
      <c r="P15" s="2">
        <v>43131</v>
      </c>
      <c r="Q15" s="1" t="s">
        <v>22</v>
      </c>
    </row>
    <row r="16" spans="1:17" x14ac:dyDescent="0.25">
      <c r="A16" s="1" t="s">
        <v>39</v>
      </c>
      <c r="B16" s="1" t="s">
        <v>24</v>
      </c>
      <c r="C16" s="1" t="s">
        <v>40</v>
      </c>
      <c r="D16" s="1" t="s">
        <v>262</v>
      </c>
      <c r="E16" s="1" t="s">
        <v>240</v>
      </c>
      <c r="F16" s="1" t="s">
        <v>19</v>
      </c>
      <c r="G16" s="1" t="s">
        <v>227</v>
      </c>
      <c r="H16" s="1" t="s">
        <v>222</v>
      </c>
      <c r="I16" s="1" t="s">
        <v>21</v>
      </c>
      <c r="J16" s="3">
        <v>6464</v>
      </c>
      <c r="K16" s="1" t="s">
        <v>133</v>
      </c>
      <c r="L16" s="1" t="s">
        <v>21</v>
      </c>
      <c r="M16" s="1" t="s">
        <v>21</v>
      </c>
      <c r="N16" s="1" t="s">
        <v>40</v>
      </c>
      <c r="O16" s="2">
        <v>43100</v>
      </c>
      <c r="P16" s="2">
        <v>43131</v>
      </c>
      <c r="Q16" s="1" t="s">
        <v>22</v>
      </c>
    </row>
    <row r="17" spans="1:17" x14ac:dyDescent="0.25">
      <c r="A17" s="1" t="s">
        <v>39</v>
      </c>
      <c r="B17" s="1" t="s">
        <v>24</v>
      </c>
      <c r="C17" s="1" t="s">
        <v>40</v>
      </c>
      <c r="D17" s="1" t="s">
        <v>263</v>
      </c>
      <c r="E17" s="1" t="s">
        <v>241</v>
      </c>
      <c r="F17" s="1" t="s">
        <v>19</v>
      </c>
      <c r="G17" s="1" t="s">
        <v>227</v>
      </c>
      <c r="H17" s="1" t="s">
        <v>224</v>
      </c>
      <c r="I17" s="1" t="s">
        <v>21</v>
      </c>
      <c r="J17" s="3">
        <v>97029</v>
      </c>
      <c r="K17" s="1" t="s">
        <v>63</v>
      </c>
      <c r="L17" s="1" t="s">
        <v>21</v>
      </c>
      <c r="M17" s="1" t="s">
        <v>21</v>
      </c>
      <c r="N17" s="1" t="s">
        <v>40</v>
      </c>
      <c r="O17" s="2">
        <v>43100</v>
      </c>
      <c r="P17" s="2">
        <v>43131</v>
      </c>
      <c r="Q17" s="1" t="s">
        <v>22</v>
      </c>
    </row>
    <row r="18" spans="1:17" x14ac:dyDescent="0.25">
      <c r="A18" s="1" t="s">
        <v>39</v>
      </c>
      <c r="B18" s="1" t="s">
        <v>24</v>
      </c>
      <c r="C18" s="1" t="s">
        <v>40</v>
      </c>
      <c r="D18" s="1" t="s">
        <v>257</v>
      </c>
      <c r="E18" s="1" t="s">
        <v>241</v>
      </c>
      <c r="F18" s="1" t="s">
        <v>19</v>
      </c>
      <c r="G18" s="1" t="s">
        <v>227</v>
      </c>
      <c r="H18" s="1" t="s">
        <v>222</v>
      </c>
      <c r="I18" s="1" t="s">
        <v>21</v>
      </c>
      <c r="J18" s="3">
        <v>-238164</v>
      </c>
      <c r="K18" s="1" t="s">
        <v>133</v>
      </c>
      <c r="L18" s="1" t="s">
        <v>21</v>
      </c>
      <c r="M18" s="1" t="s">
        <v>21</v>
      </c>
      <c r="N18" s="1" t="s">
        <v>40</v>
      </c>
      <c r="O18" s="2">
        <v>43100</v>
      </c>
      <c r="P18" s="2">
        <v>43131</v>
      </c>
      <c r="Q18" s="1" t="s">
        <v>22</v>
      </c>
    </row>
    <row r="19" spans="1:17" x14ac:dyDescent="0.25">
      <c r="A19" s="1" t="s">
        <v>39</v>
      </c>
      <c r="B19" s="1" t="s">
        <v>24</v>
      </c>
      <c r="C19" s="1" t="s">
        <v>40</v>
      </c>
      <c r="D19" s="1" t="s">
        <v>258</v>
      </c>
      <c r="E19" s="1" t="s">
        <v>259</v>
      </c>
      <c r="F19" s="1" t="s">
        <v>19</v>
      </c>
      <c r="G19" s="1" t="s">
        <v>227</v>
      </c>
      <c r="H19" s="1" t="s">
        <v>222</v>
      </c>
      <c r="I19" s="1" t="s">
        <v>21</v>
      </c>
      <c r="J19" s="3">
        <v>140818</v>
      </c>
      <c r="K19" s="1" t="s">
        <v>264</v>
      </c>
      <c r="L19" s="1" t="s">
        <v>21</v>
      </c>
      <c r="M19" s="1" t="s">
        <v>21</v>
      </c>
      <c r="N19" s="1" t="s">
        <v>40</v>
      </c>
      <c r="O19" s="2">
        <v>43100</v>
      </c>
      <c r="P19" s="2">
        <v>43131</v>
      </c>
      <c r="Q19" s="1" t="s">
        <v>22</v>
      </c>
    </row>
    <row r="20" spans="1:17" x14ac:dyDescent="0.25">
      <c r="A20" s="1" t="s">
        <v>39</v>
      </c>
      <c r="B20" s="1" t="s">
        <v>24</v>
      </c>
      <c r="C20" s="1" t="s">
        <v>40</v>
      </c>
      <c r="D20" s="1" t="s">
        <v>258</v>
      </c>
      <c r="E20" s="1" t="s">
        <v>259</v>
      </c>
      <c r="F20" s="1" t="s">
        <v>19</v>
      </c>
      <c r="G20" s="1" t="s">
        <v>227</v>
      </c>
      <c r="H20" s="1" t="s">
        <v>222</v>
      </c>
      <c r="I20" s="1" t="s">
        <v>21</v>
      </c>
      <c r="J20" s="3">
        <v>107844</v>
      </c>
      <c r="K20" s="1" t="s">
        <v>134</v>
      </c>
      <c r="L20" s="1" t="s">
        <v>21</v>
      </c>
      <c r="M20" s="1" t="s">
        <v>21</v>
      </c>
      <c r="N20" s="1" t="s">
        <v>40</v>
      </c>
      <c r="O20" s="2">
        <v>43100</v>
      </c>
      <c r="P20" s="2">
        <v>43131</v>
      </c>
      <c r="Q20" s="1" t="s">
        <v>22</v>
      </c>
    </row>
    <row r="21" spans="1:17" x14ac:dyDescent="0.25">
      <c r="A21" s="1" t="s">
        <v>39</v>
      </c>
      <c r="B21" s="1" t="s">
        <v>24</v>
      </c>
      <c r="C21" s="1" t="s">
        <v>40</v>
      </c>
      <c r="D21" s="1" t="s">
        <v>228</v>
      </c>
      <c r="E21" s="1" t="s">
        <v>30</v>
      </c>
      <c r="F21" s="1" t="s">
        <v>19</v>
      </c>
      <c r="G21" s="1" t="s">
        <v>227</v>
      </c>
      <c r="H21" s="1" t="s">
        <v>222</v>
      </c>
      <c r="I21" s="1" t="s">
        <v>21</v>
      </c>
      <c r="J21" s="3">
        <v>1193</v>
      </c>
      <c r="K21" s="1" t="s">
        <v>125</v>
      </c>
      <c r="L21" s="1" t="s">
        <v>21</v>
      </c>
      <c r="M21" s="1" t="s">
        <v>21</v>
      </c>
      <c r="N21" s="1" t="s">
        <v>40</v>
      </c>
      <c r="O21" s="2">
        <v>43100</v>
      </c>
      <c r="P21" s="2">
        <v>43131</v>
      </c>
      <c r="Q21" s="1" t="s">
        <v>22</v>
      </c>
    </row>
    <row r="22" spans="1:17" x14ac:dyDescent="0.25">
      <c r="A22" s="1" t="s">
        <v>39</v>
      </c>
      <c r="B22" s="1" t="s">
        <v>24</v>
      </c>
      <c r="C22" s="1" t="s">
        <v>40</v>
      </c>
      <c r="D22" s="1" t="s">
        <v>229</v>
      </c>
      <c r="E22" s="1" t="s">
        <v>18</v>
      </c>
      <c r="F22" s="1" t="s">
        <v>19</v>
      </c>
      <c r="G22" s="1" t="s">
        <v>227</v>
      </c>
      <c r="H22" s="1" t="s">
        <v>222</v>
      </c>
      <c r="I22" s="1" t="s">
        <v>21</v>
      </c>
      <c r="J22" s="3">
        <v>-508814</v>
      </c>
      <c r="K22" s="1" t="s">
        <v>133</v>
      </c>
      <c r="L22" s="1" t="s">
        <v>21</v>
      </c>
      <c r="M22" s="1" t="s">
        <v>21</v>
      </c>
      <c r="N22" s="1" t="s">
        <v>40</v>
      </c>
      <c r="O22" s="2">
        <v>43100</v>
      </c>
      <c r="P22" s="2">
        <v>43131</v>
      </c>
      <c r="Q22" s="1" t="s">
        <v>22</v>
      </c>
    </row>
    <row r="23" spans="1:17" x14ac:dyDescent="0.25">
      <c r="A23" s="1" t="s">
        <v>39</v>
      </c>
      <c r="B23" s="1" t="s">
        <v>24</v>
      </c>
      <c r="C23" s="1" t="s">
        <v>40</v>
      </c>
      <c r="D23" s="1" t="s">
        <v>265</v>
      </c>
      <c r="E23" s="1" t="s">
        <v>253</v>
      </c>
      <c r="F23" s="1" t="s">
        <v>19</v>
      </c>
      <c r="G23" s="1" t="s">
        <v>227</v>
      </c>
      <c r="H23" s="1" t="s">
        <v>224</v>
      </c>
      <c r="I23" s="1" t="s">
        <v>21</v>
      </c>
      <c r="J23" s="3">
        <v>32108</v>
      </c>
      <c r="K23" s="1" t="s">
        <v>63</v>
      </c>
      <c r="L23" s="1" t="s">
        <v>21</v>
      </c>
      <c r="M23" s="1" t="s">
        <v>21</v>
      </c>
      <c r="N23" s="1" t="s">
        <v>40</v>
      </c>
      <c r="O23" s="2">
        <v>43100</v>
      </c>
      <c r="P23" s="2">
        <v>43131</v>
      </c>
      <c r="Q23" s="1" t="s">
        <v>22</v>
      </c>
    </row>
    <row r="24" spans="1:17" x14ac:dyDescent="0.25">
      <c r="A24" s="1" t="s">
        <v>39</v>
      </c>
      <c r="B24" s="1" t="s">
        <v>24</v>
      </c>
      <c r="C24" s="1" t="s">
        <v>40</v>
      </c>
      <c r="D24" s="1" t="s">
        <v>254</v>
      </c>
      <c r="E24" s="1" t="s">
        <v>56</v>
      </c>
      <c r="F24" s="1" t="s">
        <v>19</v>
      </c>
      <c r="G24" s="1" t="s">
        <v>227</v>
      </c>
      <c r="H24" s="1" t="s">
        <v>222</v>
      </c>
      <c r="I24" s="1" t="s">
        <v>21</v>
      </c>
      <c r="J24" s="3">
        <v>67823</v>
      </c>
      <c r="K24" s="1" t="s">
        <v>67</v>
      </c>
      <c r="L24" s="1" t="s">
        <v>21</v>
      </c>
      <c r="M24" s="1" t="s">
        <v>21</v>
      </c>
      <c r="N24" s="1" t="s">
        <v>40</v>
      </c>
      <c r="O24" s="2">
        <v>43100</v>
      </c>
      <c r="P24" s="2">
        <v>43131</v>
      </c>
      <c r="Q24" s="1" t="s">
        <v>22</v>
      </c>
    </row>
    <row r="25" spans="1:17" x14ac:dyDescent="0.25">
      <c r="A25" s="1" t="s">
        <v>39</v>
      </c>
      <c r="B25" s="1" t="s">
        <v>24</v>
      </c>
      <c r="C25" s="1" t="s">
        <v>40</v>
      </c>
      <c r="D25" s="1" t="s">
        <v>254</v>
      </c>
      <c r="E25" s="1" t="s">
        <v>56</v>
      </c>
      <c r="F25" s="1" t="s">
        <v>19</v>
      </c>
      <c r="G25" s="1" t="s">
        <v>227</v>
      </c>
      <c r="H25" s="1" t="s">
        <v>222</v>
      </c>
      <c r="I25" s="1" t="s">
        <v>21</v>
      </c>
      <c r="J25" s="3">
        <v>50883</v>
      </c>
      <c r="K25" s="1" t="s">
        <v>125</v>
      </c>
      <c r="L25" s="1" t="s">
        <v>21</v>
      </c>
      <c r="M25" s="1" t="s">
        <v>21</v>
      </c>
      <c r="N25" s="1" t="s">
        <v>40</v>
      </c>
      <c r="O25" s="2">
        <v>43100</v>
      </c>
      <c r="P25" s="2">
        <v>43131</v>
      </c>
      <c r="Q25" s="1" t="s">
        <v>22</v>
      </c>
    </row>
    <row r="26" spans="1:17" x14ac:dyDescent="0.25">
      <c r="A26" s="1" t="s">
        <v>39</v>
      </c>
      <c r="B26" s="1" t="s">
        <v>24</v>
      </c>
      <c r="C26" s="1" t="s">
        <v>40</v>
      </c>
      <c r="D26" s="1" t="s">
        <v>262</v>
      </c>
      <c r="E26" s="1" t="s">
        <v>240</v>
      </c>
      <c r="F26" s="1" t="s">
        <v>19</v>
      </c>
      <c r="G26" s="1" t="s">
        <v>227</v>
      </c>
      <c r="H26" s="1" t="s">
        <v>222</v>
      </c>
      <c r="I26" s="1" t="s">
        <v>21</v>
      </c>
      <c r="J26" s="3">
        <v>-2530</v>
      </c>
      <c r="K26" s="1" t="s">
        <v>126</v>
      </c>
      <c r="L26" s="1" t="s">
        <v>21</v>
      </c>
      <c r="M26" s="1" t="s">
        <v>21</v>
      </c>
      <c r="N26" s="1" t="s">
        <v>40</v>
      </c>
      <c r="O26" s="2">
        <v>43100</v>
      </c>
      <c r="P26" s="2">
        <v>43131</v>
      </c>
      <c r="Q26" s="1" t="s">
        <v>22</v>
      </c>
    </row>
    <row r="27" spans="1:17" x14ac:dyDescent="0.25">
      <c r="A27" s="1" t="s">
        <v>39</v>
      </c>
      <c r="B27" s="1" t="s">
        <v>24</v>
      </c>
      <c r="C27" s="1" t="s">
        <v>40</v>
      </c>
      <c r="D27" s="1" t="s">
        <v>262</v>
      </c>
      <c r="E27" s="1" t="s">
        <v>240</v>
      </c>
      <c r="F27" s="1" t="s">
        <v>19</v>
      </c>
      <c r="G27" s="1" t="s">
        <v>227</v>
      </c>
      <c r="H27" s="1" t="s">
        <v>222</v>
      </c>
      <c r="I27" s="1" t="s">
        <v>21</v>
      </c>
      <c r="J27" s="3">
        <v>193713</v>
      </c>
      <c r="K27" s="1" t="s">
        <v>134</v>
      </c>
      <c r="L27" s="1" t="s">
        <v>21</v>
      </c>
      <c r="M27" s="1" t="s">
        <v>21</v>
      </c>
      <c r="N27" s="1" t="s">
        <v>40</v>
      </c>
      <c r="O27" s="2">
        <v>43100</v>
      </c>
      <c r="P27" s="2">
        <v>43131</v>
      </c>
      <c r="Q27" s="1" t="s">
        <v>22</v>
      </c>
    </row>
    <row r="28" spans="1:17" x14ac:dyDescent="0.25">
      <c r="A28" s="1" t="s">
        <v>39</v>
      </c>
      <c r="B28" s="1" t="s">
        <v>24</v>
      </c>
      <c r="C28" s="1" t="s">
        <v>40</v>
      </c>
      <c r="D28" s="1" t="s">
        <v>257</v>
      </c>
      <c r="E28" s="1" t="s">
        <v>241</v>
      </c>
      <c r="F28" s="1" t="s">
        <v>19</v>
      </c>
      <c r="G28" s="1" t="s">
        <v>227</v>
      </c>
      <c r="H28" s="1" t="s">
        <v>222</v>
      </c>
      <c r="I28" s="1" t="s">
        <v>21</v>
      </c>
      <c r="J28" s="3">
        <v>-75025</v>
      </c>
      <c r="K28" s="1" t="s">
        <v>250</v>
      </c>
      <c r="L28" s="1" t="s">
        <v>21</v>
      </c>
      <c r="M28" s="1" t="s">
        <v>21</v>
      </c>
      <c r="N28" s="1" t="s">
        <v>40</v>
      </c>
      <c r="O28" s="2">
        <v>43100</v>
      </c>
      <c r="P28" s="2">
        <v>43131</v>
      </c>
      <c r="Q28" s="1" t="s">
        <v>22</v>
      </c>
    </row>
    <row r="29" spans="1:17" x14ac:dyDescent="0.25">
      <c r="A29" s="1" t="s">
        <v>39</v>
      </c>
      <c r="B29" s="1" t="s">
        <v>24</v>
      </c>
      <c r="C29" s="1" t="s">
        <v>40</v>
      </c>
      <c r="D29" s="1" t="s">
        <v>257</v>
      </c>
      <c r="E29" s="1" t="s">
        <v>241</v>
      </c>
      <c r="F29" s="1" t="s">
        <v>19</v>
      </c>
      <c r="G29" s="1" t="s">
        <v>227</v>
      </c>
      <c r="H29" s="1" t="s">
        <v>222</v>
      </c>
      <c r="I29" s="1" t="s">
        <v>21</v>
      </c>
      <c r="J29" s="3">
        <v>38638</v>
      </c>
      <c r="K29" s="1" t="s">
        <v>134</v>
      </c>
      <c r="L29" s="1" t="s">
        <v>21</v>
      </c>
      <c r="M29" s="1" t="s">
        <v>21</v>
      </c>
      <c r="N29" s="1" t="s">
        <v>40</v>
      </c>
      <c r="O29" s="2">
        <v>43100</v>
      </c>
      <c r="P29" s="2">
        <v>43131</v>
      </c>
      <c r="Q29" s="1" t="s">
        <v>22</v>
      </c>
    </row>
    <row r="30" spans="1:17" x14ac:dyDescent="0.25">
      <c r="A30" s="1" t="s">
        <v>39</v>
      </c>
      <c r="B30" s="1" t="s">
        <v>24</v>
      </c>
      <c r="C30" s="1" t="s">
        <v>40</v>
      </c>
      <c r="D30" s="1" t="s">
        <v>257</v>
      </c>
      <c r="E30" s="1" t="s">
        <v>241</v>
      </c>
      <c r="F30" s="1" t="s">
        <v>19</v>
      </c>
      <c r="G30" s="1" t="s">
        <v>227</v>
      </c>
      <c r="H30" s="1" t="s">
        <v>222</v>
      </c>
      <c r="I30" s="1" t="s">
        <v>21</v>
      </c>
      <c r="J30" s="3">
        <v>467</v>
      </c>
      <c r="K30" s="1" t="s">
        <v>250</v>
      </c>
      <c r="L30" s="1" t="s">
        <v>21</v>
      </c>
      <c r="M30" s="1" t="s">
        <v>21</v>
      </c>
      <c r="N30" s="1" t="s">
        <v>40</v>
      </c>
      <c r="O30" s="2">
        <v>43100</v>
      </c>
      <c r="P30" s="2">
        <v>43131</v>
      </c>
      <c r="Q30" s="1" t="s">
        <v>22</v>
      </c>
    </row>
    <row r="31" spans="1:17" x14ac:dyDescent="0.25">
      <c r="A31" s="1" t="s">
        <v>39</v>
      </c>
      <c r="B31" s="1" t="s">
        <v>24</v>
      </c>
      <c r="C31" s="1" t="s">
        <v>40</v>
      </c>
      <c r="D31" s="1" t="s">
        <v>266</v>
      </c>
      <c r="E31" s="1" t="s">
        <v>267</v>
      </c>
      <c r="F31" s="1" t="s">
        <v>19</v>
      </c>
      <c r="G31" s="1" t="s">
        <v>227</v>
      </c>
      <c r="H31" s="1" t="s">
        <v>222</v>
      </c>
      <c r="I31" s="1" t="s">
        <v>21</v>
      </c>
      <c r="J31" s="3">
        <v>1222</v>
      </c>
      <c r="K31" s="1" t="s">
        <v>245</v>
      </c>
      <c r="L31" s="1" t="s">
        <v>21</v>
      </c>
      <c r="M31" s="1" t="s">
        <v>21</v>
      </c>
      <c r="N31" s="1" t="s">
        <v>40</v>
      </c>
      <c r="O31" s="2">
        <v>43100</v>
      </c>
      <c r="P31" s="2">
        <v>43131</v>
      </c>
      <c r="Q31" s="1" t="s">
        <v>22</v>
      </c>
    </row>
    <row r="32" spans="1:17" x14ac:dyDescent="0.25">
      <c r="A32" s="1" t="s">
        <v>39</v>
      </c>
      <c r="B32" s="1" t="s">
        <v>24</v>
      </c>
      <c r="C32" s="1" t="s">
        <v>40</v>
      </c>
      <c r="D32" s="1" t="s">
        <v>258</v>
      </c>
      <c r="E32" s="1" t="s">
        <v>259</v>
      </c>
      <c r="F32" s="1" t="s">
        <v>19</v>
      </c>
      <c r="G32" s="1" t="s">
        <v>227</v>
      </c>
      <c r="H32" s="1" t="s">
        <v>222</v>
      </c>
      <c r="I32" s="1" t="s">
        <v>21</v>
      </c>
      <c r="J32" s="3">
        <v>44287</v>
      </c>
      <c r="K32" s="1" t="s">
        <v>245</v>
      </c>
      <c r="L32" s="1" t="s">
        <v>21</v>
      </c>
      <c r="M32" s="1" t="s">
        <v>21</v>
      </c>
      <c r="N32" s="1" t="s">
        <v>40</v>
      </c>
      <c r="O32" s="2">
        <v>43100</v>
      </c>
      <c r="P32" s="2">
        <v>43131</v>
      </c>
      <c r="Q32" s="1" t="s">
        <v>22</v>
      </c>
    </row>
    <row r="33" spans="1:17" x14ac:dyDescent="0.25">
      <c r="A33" s="1" t="s">
        <v>39</v>
      </c>
      <c r="B33" s="1" t="s">
        <v>24</v>
      </c>
      <c r="C33" s="1" t="s">
        <v>40</v>
      </c>
      <c r="D33" s="1" t="s">
        <v>255</v>
      </c>
      <c r="E33" s="1" t="s">
        <v>256</v>
      </c>
      <c r="F33" s="1" t="s">
        <v>19</v>
      </c>
      <c r="G33" s="1" t="s">
        <v>227</v>
      </c>
      <c r="H33" s="1" t="s">
        <v>222</v>
      </c>
      <c r="I33" s="1" t="s">
        <v>21</v>
      </c>
      <c r="J33" s="3">
        <v>-9529746</v>
      </c>
      <c r="K33" s="1" t="s">
        <v>142</v>
      </c>
      <c r="L33" s="1" t="s">
        <v>21</v>
      </c>
      <c r="M33" s="1" t="s">
        <v>21</v>
      </c>
      <c r="N33" s="1" t="s">
        <v>40</v>
      </c>
      <c r="O33" s="2">
        <v>43100</v>
      </c>
      <c r="P33" s="2">
        <v>43131</v>
      </c>
      <c r="Q33" s="1" t="s">
        <v>22</v>
      </c>
    </row>
    <row r="34" spans="1:17" x14ac:dyDescent="0.25">
      <c r="A34" s="1" t="s">
        <v>39</v>
      </c>
      <c r="B34" s="1" t="s">
        <v>24</v>
      </c>
      <c r="C34" s="1" t="s">
        <v>40</v>
      </c>
      <c r="D34" s="1" t="s">
        <v>262</v>
      </c>
      <c r="E34" s="1" t="s">
        <v>240</v>
      </c>
      <c r="F34" s="1" t="s">
        <v>19</v>
      </c>
      <c r="G34" s="1" t="s">
        <v>227</v>
      </c>
      <c r="H34" s="1" t="s">
        <v>222</v>
      </c>
      <c r="I34" s="1" t="s">
        <v>21</v>
      </c>
      <c r="J34" s="3">
        <v>-55271</v>
      </c>
      <c r="K34" s="1" t="s">
        <v>128</v>
      </c>
      <c r="L34" s="1" t="s">
        <v>21</v>
      </c>
      <c r="M34" s="1" t="s">
        <v>21</v>
      </c>
      <c r="N34" s="1" t="s">
        <v>40</v>
      </c>
      <c r="O34" s="2">
        <v>43100</v>
      </c>
      <c r="P34" s="2">
        <v>43131</v>
      </c>
      <c r="Q34" s="1" t="s">
        <v>22</v>
      </c>
    </row>
    <row r="35" spans="1:17" x14ac:dyDescent="0.25">
      <c r="A35" s="1" t="s">
        <v>39</v>
      </c>
      <c r="B35" s="1" t="s">
        <v>24</v>
      </c>
      <c r="C35" s="1" t="s">
        <v>40</v>
      </c>
      <c r="D35" s="1" t="s">
        <v>257</v>
      </c>
      <c r="E35" s="1" t="s">
        <v>241</v>
      </c>
      <c r="F35" s="1" t="s">
        <v>19</v>
      </c>
      <c r="G35" s="1" t="s">
        <v>227</v>
      </c>
      <c r="H35" s="1" t="s">
        <v>222</v>
      </c>
      <c r="I35" s="1" t="s">
        <v>21</v>
      </c>
      <c r="J35" s="3">
        <v>-15258</v>
      </c>
      <c r="K35" s="1" t="s">
        <v>128</v>
      </c>
      <c r="L35" s="1" t="s">
        <v>21</v>
      </c>
      <c r="M35" s="1" t="s">
        <v>21</v>
      </c>
      <c r="N35" s="1" t="s">
        <v>40</v>
      </c>
      <c r="O35" s="2">
        <v>43100</v>
      </c>
      <c r="P35" s="2">
        <v>43131</v>
      </c>
      <c r="Q35" s="1" t="s">
        <v>22</v>
      </c>
    </row>
    <row r="36" spans="1:17" x14ac:dyDescent="0.25">
      <c r="A36" s="1" t="s">
        <v>39</v>
      </c>
      <c r="B36" s="1" t="s">
        <v>24</v>
      </c>
      <c r="C36" s="1" t="s">
        <v>40</v>
      </c>
      <c r="D36" s="1" t="s">
        <v>257</v>
      </c>
      <c r="E36" s="1" t="s">
        <v>241</v>
      </c>
      <c r="F36" s="1" t="s">
        <v>19</v>
      </c>
      <c r="G36" s="1" t="s">
        <v>227</v>
      </c>
      <c r="H36" s="1" t="s">
        <v>222</v>
      </c>
      <c r="I36" s="1" t="s">
        <v>21</v>
      </c>
      <c r="J36" s="3">
        <v>-436098</v>
      </c>
      <c r="K36" s="1" t="s">
        <v>142</v>
      </c>
      <c r="L36" s="1" t="s">
        <v>21</v>
      </c>
      <c r="M36" s="1" t="s">
        <v>21</v>
      </c>
      <c r="N36" s="1" t="s">
        <v>40</v>
      </c>
      <c r="O36" s="2">
        <v>43100</v>
      </c>
      <c r="P36" s="2">
        <v>43131</v>
      </c>
      <c r="Q36" s="1" t="s">
        <v>22</v>
      </c>
    </row>
    <row r="37" spans="1:17" x14ac:dyDescent="0.25">
      <c r="A37" s="1" t="s">
        <v>39</v>
      </c>
      <c r="B37" s="1" t="s">
        <v>24</v>
      </c>
      <c r="C37" s="1" t="s">
        <v>40</v>
      </c>
      <c r="D37" s="1" t="s">
        <v>229</v>
      </c>
      <c r="E37" s="1" t="s">
        <v>18</v>
      </c>
      <c r="F37" s="1" t="s">
        <v>19</v>
      </c>
      <c r="G37" s="1" t="s">
        <v>227</v>
      </c>
      <c r="H37" s="1" t="s">
        <v>222</v>
      </c>
      <c r="I37" s="1" t="s">
        <v>21</v>
      </c>
      <c r="J37" s="3">
        <v>-653</v>
      </c>
      <c r="K37" s="1" t="s">
        <v>128</v>
      </c>
      <c r="L37" s="1" t="s">
        <v>21</v>
      </c>
      <c r="M37" s="1" t="s">
        <v>21</v>
      </c>
      <c r="N37" s="1" t="s">
        <v>40</v>
      </c>
      <c r="O37" s="2">
        <v>43100</v>
      </c>
      <c r="P37" s="2">
        <v>43131</v>
      </c>
      <c r="Q37" s="1" t="s">
        <v>22</v>
      </c>
    </row>
    <row r="38" spans="1:17" x14ac:dyDescent="0.25">
      <c r="A38" s="1" t="s">
        <v>39</v>
      </c>
      <c r="B38" s="1" t="s">
        <v>24</v>
      </c>
      <c r="C38" s="1" t="s">
        <v>231</v>
      </c>
      <c r="D38" s="1" t="s">
        <v>268</v>
      </c>
      <c r="E38" s="1" t="s">
        <v>56</v>
      </c>
      <c r="F38" s="1" t="s">
        <v>19</v>
      </c>
      <c r="G38" s="1" t="s">
        <v>227</v>
      </c>
      <c r="H38" s="1" t="s">
        <v>224</v>
      </c>
      <c r="I38" s="1" t="s">
        <v>21</v>
      </c>
      <c r="J38" s="3">
        <v>-3604461</v>
      </c>
      <c r="K38" s="1" t="s">
        <v>142</v>
      </c>
      <c r="L38" s="1" t="s">
        <v>21</v>
      </c>
      <c r="M38" s="1" t="s">
        <v>21</v>
      </c>
      <c r="N38" s="1" t="s">
        <v>231</v>
      </c>
      <c r="O38" s="2">
        <v>43100</v>
      </c>
      <c r="P38" s="2">
        <v>43147</v>
      </c>
      <c r="Q38" s="1" t="s">
        <v>22</v>
      </c>
    </row>
    <row r="39" spans="1:17" x14ac:dyDescent="0.25">
      <c r="A39" s="1" t="s">
        <v>39</v>
      </c>
      <c r="B39" s="1" t="s">
        <v>24</v>
      </c>
      <c r="C39" s="1" t="s">
        <v>231</v>
      </c>
      <c r="D39" s="1" t="s">
        <v>263</v>
      </c>
      <c r="E39" s="1" t="s">
        <v>241</v>
      </c>
      <c r="F39" s="1" t="s">
        <v>19</v>
      </c>
      <c r="G39" s="1" t="s">
        <v>227</v>
      </c>
      <c r="H39" s="1" t="s">
        <v>224</v>
      </c>
      <c r="I39" s="1" t="s">
        <v>21</v>
      </c>
      <c r="J39" s="3">
        <v>-300762</v>
      </c>
      <c r="K39" s="1" t="s">
        <v>142</v>
      </c>
      <c r="L39" s="1" t="s">
        <v>21</v>
      </c>
      <c r="M39" s="1" t="s">
        <v>21</v>
      </c>
      <c r="N39" s="1" t="s">
        <v>231</v>
      </c>
      <c r="O39" s="2">
        <v>43100</v>
      </c>
      <c r="P39" s="2">
        <v>43147</v>
      </c>
      <c r="Q39" s="1" t="s">
        <v>22</v>
      </c>
    </row>
    <row r="40" spans="1:17" x14ac:dyDescent="0.25">
      <c r="A40" s="1" t="s">
        <v>39</v>
      </c>
      <c r="B40" s="1" t="s">
        <v>24</v>
      </c>
      <c r="C40" s="1" t="s">
        <v>231</v>
      </c>
      <c r="D40" s="1" t="s">
        <v>269</v>
      </c>
      <c r="E40" s="1" t="s">
        <v>259</v>
      </c>
      <c r="F40" s="1" t="s">
        <v>19</v>
      </c>
      <c r="G40" s="1" t="s">
        <v>227</v>
      </c>
      <c r="H40" s="1" t="s">
        <v>224</v>
      </c>
      <c r="I40" s="1" t="s">
        <v>21</v>
      </c>
      <c r="J40" s="3">
        <v>-902252</v>
      </c>
      <c r="K40" s="1" t="s">
        <v>142</v>
      </c>
      <c r="L40" s="1" t="s">
        <v>21</v>
      </c>
      <c r="M40" s="1" t="s">
        <v>21</v>
      </c>
      <c r="N40" s="1" t="s">
        <v>231</v>
      </c>
      <c r="O40" s="2">
        <v>43100</v>
      </c>
      <c r="P40" s="2">
        <v>43147</v>
      </c>
      <c r="Q40" s="1" t="s">
        <v>22</v>
      </c>
    </row>
    <row r="41" spans="1:17" x14ac:dyDescent="0.25">
      <c r="A41" s="1" t="s">
        <v>39</v>
      </c>
      <c r="B41" s="1" t="s">
        <v>24</v>
      </c>
      <c r="C41" s="1" t="s">
        <v>231</v>
      </c>
      <c r="D41" s="1" t="s">
        <v>230</v>
      </c>
      <c r="E41" s="1" t="s">
        <v>18</v>
      </c>
      <c r="F41" s="1" t="s">
        <v>19</v>
      </c>
      <c r="G41" s="1" t="s">
        <v>227</v>
      </c>
      <c r="H41" s="1" t="s">
        <v>224</v>
      </c>
      <c r="I41" s="1" t="s">
        <v>21</v>
      </c>
      <c r="J41" s="3">
        <v>-506127</v>
      </c>
      <c r="K41" s="1" t="s">
        <v>142</v>
      </c>
      <c r="L41" s="1" t="s">
        <v>21</v>
      </c>
      <c r="M41" s="1" t="s">
        <v>21</v>
      </c>
      <c r="N41" s="1" t="s">
        <v>231</v>
      </c>
      <c r="O41" s="2">
        <v>43100</v>
      </c>
      <c r="P41" s="2">
        <v>43147</v>
      </c>
      <c r="Q41" s="1" t="s">
        <v>22</v>
      </c>
    </row>
    <row r="42" spans="1:17" x14ac:dyDescent="0.25">
      <c r="A42" s="1" t="s">
        <v>39</v>
      </c>
      <c r="B42" s="1" t="s">
        <v>24</v>
      </c>
      <c r="C42" s="1" t="s">
        <v>40</v>
      </c>
      <c r="D42" s="1" t="s">
        <v>255</v>
      </c>
      <c r="E42" s="1" t="s">
        <v>256</v>
      </c>
      <c r="F42" s="1" t="s">
        <v>19</v>
      </c>
      <c r="G42" s="1" t="s">
        <v>227</v>
      </c>
      <c r="H42" s="1" t="s">
        <v>222</v>
      </c>
      <c r="I42" s="1" t="s">
        <v>21</v>
      </c>
      <c r="J42" s="3">
        <v>-125920</v>
      </c>
      <c r="K42" s="1" t="s">
        <v>270</v>
      </c>
      <c r="L42" s="1" t="s">
        <v>21</v>
      </c>
      <c r="M42" s="1" t="s">
        <v>21</v>
      </c>
      <c r="N42" s="1" t="s">
        <v>40</v>
      </c>
      <c r="O42" s="2">
        <v>43100</v>
      </c>
      <c r="P42" s="2">
        <v>43131</v>
      </c>
      <c r="Q42" s="1" t="s">
        <v>22</v>
      </c>
    </row>
    <row r="43" spans="1:17" x14ac:dyDescent="0.25">
      <c r="A43" s="1" t="s">
        <v>39</v>
      </c>
      <c r="B43" s="1" t="s">
        <v>24</v>
      </c>
      <c r="C43" s="1" t="s">
        <v>40</v>
      </c>
      <c r="D43" s="1" t="s">
        <v>271</v>
      </c>
      <c r="E43" s="1" t="s">
        <v>256</v>
      </c>
      <c r="F43" s="1" t="s">
        <v>19</v>
      </c>
      <c r="G43" s="1" t="s">
        <v>227</v>
      </c>
      <c r="H43" s="1" t="s">
        <v>224</v>
      </c>
      <c r="I43" s="1" t="s">
        <v>21</v>
      </c>
      <c r="J43" s="3">
        <v>91769</v>
      </c>
      <c r="K43" s="1" t="s">
        <v>272</v>
      </c>
      <c r="L43" s="1" t="s">
        <v>21</v>
      </c>
      <c r="M43" s="1" t="s">
        <v>21</v>
      </c>
      <c r="N43" s="1" t="s">
        <v>40</v>
      </c>
      <c r="O43" s="2">
        <v>43100</v>
      </c>
      <c r="P43" s="2">
        <v>43131</v>
      </c>
      <c r="Q43" s="1" t="s">
        <v>22</v>
      </c>
    </row>
    <row r="44" spans="1:17" x14ac:dyDescent="0.25">
      <c r="A44" s="1" t="s">
        <v>39</v>
      </c>
      <c r="B44" s="1" t="s">
        <v>24</v>
      </c>
      <c r="C44" s="1" t="s">
        <v>40</v>
      </c>
      <c r="D44" s="1" t="s">
        <v>266</v>
      </c>
      <c r="E44" s="1" t="s">
        <v>267</v>
      </c>
      <c r="F44" s="1" t="s">
        <v>19</v>
      </c>
      <c r="G44" s="1" t="s">
        <v>227</v>
      </c>
      <c r="H44" s="1" t="s">
        <v>222</v>
      </c>
      <c r="I44" s="1" t="s">
        <v>21</v>
      </c>
      <c r="J44" s="3">
        <v>-666</v>
      </c>
      <c r="K44" s="1" t="s">
        <v>128</v>
      </c>
      <c r="L44" s="1" t="s">
        <v>21</v>
      </c>
      <c r="M44" s="1" t="s">
        <v>21</v>
      </c>
      <c r="N44" s="1" t="s">
        <v>40</v>
      </c>
      <c r="O44" s="2">
        <v>43100</v>
      </c>
      <c r="P44" s="2">
        <v>43131</v>
      </c>
      <c r="Q44" s="1" t="s">
        <v>22</v>
      </c>
    </row>
    <row r="45" spans="1:17" x14ac:dyDescent="0.25">
      <c r="A45" s="1" t="s">
        <v>39</v>
      </c>
      <c r="B45" s="1" t="s">
        <v>24</v>
      </c>
      <c r="C45" s="1" t="s">
        <v>40</v>
      </c>
      <c r="D45" s="1" t="s">
        <v>258</v>
      </c>
      <c r="E45" s="1" t="s">
        <v>259</v>
      </c>
      <c r="F45" s="1" t="s">
        <v>19</v>
      </c>
      <c r="G45" s="1" t="s">
        <v>227</v>
      </c>
      <c r="H45" s="1" t="s">
        <v>222</v>
      </c>
      <c r="I45" s="1" t="s">
        <v>21</v>
      </c>
      <c r="J45" s="3">
        <v>-518038</v>
      </c>
      <c r="K45" s="1" t="s">
        <v>142</v>
      </c>
      <c r="L45" s="1" t="s">
        <v>21</v>
      </c>
      <c r="M45" s="1" t="s">
        <v>21</v>
      </c>
      <c r="N45" s="1" t="s">
        <v>40</v>
      </c>
      <c r="O45" s="2">
        <v>43100</v>
      </c>
      <c r="P45" s="2">
        <v>43131</v>
      </c>
      <c r="Q45" s="1" t="s">
        <v>22</v>
      </c>
    </row>
    <row r="46" spans="1:17" x14ac:dyDescent="0.25">
      <c r="A46" s="1" t="s">
        <v>39</v>
      </c>
      <c r="B46" s="1" t="s">
        <v>24</v>
      </c>
      <c r="C46" s="1" t="s">
        <v>231</v>
      </c>
      <c r="D46" s="1" t="s">
        <v>271</v>
      </c>
      <c r="E46" s="1" t="s">
        <v>256</v>
      </c>
      <c r="F46" s="1" t="s">
        <v>19</v>
      </c>
      <c r="G46" s="1" t="s">
        <v>227</v>
      </c>
      <c r="H46" s="1" t="s">
        <v>224</v>
      </c>
      <c r="I46" s="1" t="s">
        <v>21</v>
      </c>
      <c r="J46" s="3">
        <v>-9529746</v>
      </c>
      <c r="K46" s="1" t="s">
        <v>142</v>
      </c>
      <c r="L46" s="1" t="s">
        <v>21</v>
      </c>
      <c r="M46" s="1" t="s">
        <v>21</v>
      </c>
      <c r="N46" s="1" t="s">
        <v>231</v>
      </c>
      <c r="O46" s="2">
        <v>43100</v>
      </c>
      <c r="P46" s="2">
        <v>43147</v>
      </c>
      <c r="Q46" s="1" t="s">
        <v>22</v>
      </c>
    </row>
    <row r="47" spans="1:17" x14ac:dyDescent="0.25">
      <c r="A47" s="1" t="s">
        <v>39</v>
      </c>
      <c r="B47" s="1" t="s">
        <v>24</v>
      </c>
      <c r="C47" s="1" t="s">
        <v>231</v>
      </c>
      <c r="D47" s="1" t="s">
        <v>263</v>
      </c>
      <c r="E47" s="1" t="s">
        <v>241</v>
      </c>
      <c r="F47" s="1" t="s">
        <v>19</v>
      </c>
      <c r="G47" s="1" t="s">
        <v>227</v>
      </c>
      <c r="H47" s="1" t="s">
        <v>224</v>
      </c>
      <c r="I47" s="1" t="s">
        <v>21</v>
      </c>
      <c r="J47" s="3">
        <v>-436098</v>
      </c>
      <c r="K47" s="1" t="s">
        <v>142</v>
      </c>
      <c r="L47" s="1" t="s">
        <v>21</v>
      </c>
      <c r="M47" s="1" t="s">
        <v>21</v>
      </c>
      <c r="N47" s="1" t="s">
        <v>231</v>
      </c>
      <c r="O47" s="2">
        <v>43100</v>
      </c>
      <c r="P47" s="2">
        <v>43147</v>
      </c>
      <c r="Q47" s="1" t="s">
        <v>22</v>
      </c>
    </row>
    <row r="48" spans="1:17" x14ac:dyDescent="0.25">
      <c r="A48" s="1" t="s">
        <v>39</v>
      </c>
      <c r="B48" s="1" t="s">
        <v>24</v>
      </c>
      <c r="C48" s="1" t="s">
        <v>231</v>
      </c>
      <c r="D48" s="1" t="s">
        <v>269</v>
      </c>
      <c r="E48" s="1" t="s">
        <v>259</v>
      </c>
      <c r="F48" s="1" t="s">
        <v>19</v>
      </c>
      <c r="G48" s="1" t="s">
        <v>227</v>
      </c>
      <c r="H48" s="1" t="s">
        <v>224</v>
      </c>
      <c r="I48" s="1" t="s">
        <v>21</v>
      </c>
      <c r="J48" s="3">
        <v>-518038</v>
      </c>
      <c r="K48" s="1" t="s">
        <v>142</v>
      </c>
      <c r="L48" s="1" t="s">
        <v>21</v>
      </c>
      <c r="M48" s="1" t="s">
        <v>21</v>
      </c>
      <c r="N48" s="1" t="s">
        <v>231</v>
      </c>
      <c r="O48" s="2">
        <v>43100</v>
      </c>
      <c r="P48" s="2">
        <v>43147</v>
      </c>
      <c r="Q48" s="1" t="s">
        <v>22</v>
      </c>
    </row>
    <row r="49" spans="1:17" x14ac:dyDescent="0.25">
      <c r="A49" s="1" t="s">
        <v>39</v>
      </c>
      <c r="B49" s="1" t="s">
        <v>24</v>
      </c>
      <c r="C49" s="1" t="s">
        <v>40</v>
      </c>
      <c r="D49" s="1" t="s">
        <v>255</v>
      </c>
      <c r="E49" s="1" t="s">
        <v>256</v>
      </c>
      <c r="F49" s="1" t="s">
        <v>19</v>
      </c>
      <c r="G49" s="1" t="s">
        <v>227</v>
      </c>
      <c r="H49" s="1" t="s">
        <v>222</v>
      </c>
      <c r="I49" s="1" t="s">
        <v>21</v>
      </c>
      <c r="J49" s="3">
        <v>650</v>
      </c>
      <c r="K49" s="1" t="s">
        <v>71</v>
      </c>
      <c r="L49" s="1" t="s">
        <v>21</v>
      </c>
      <c r="M49" s="1" t="s">
        <v>21</v>
      </c>
      <c r="N49" s="1" t="s">
        <v>40</v>
      </c>
      <c r="O49" s="2">
        <v>43100</v>
      </c>
      <c r="P49" s="2">
        <v>43131</v>
      </c>
      <c r="Q49" s="1" t="s">
        <v>22</v>
      </c>
    </row>
    <row r="50" spans="1:17" x14ac:dyDescent="0.25">
      <c r="A50" s="1" t="s">
        <v>39</v>
      </c>
      <c r="B50" s="1" t="s">
        <v>24</v>
      </c>
      <c r="C50" s="1" t="s">
        <v>40</v>
      </c>
      <c r="D50" s="1" t="s">
        <v>266</v>
      </c>
      <c r="E50" s="1" t="s">
        <v>267</v>
      </c>
      <c r="F50" s="1" t="s">
        <v>19</v>
      </c>
      <c r="G50" s="1" t="s">
        <v>227</v>
      </c>
      <c r="H50" s="1" t="s">
        <v>222</v>
      </c>
      <c r="I50" s="1" t="s">
        <v>21</v>
      </c>
      <c r="J50" s="3">
        <v>-47289</v>
      </c>
      <c r="K50" s="1" t="s">
        <v>142</v>
      </c>
      <c r="L50" s="1" t="s">
        <v>21</v>
      </c>
      <c r="M50" s="1" t="s">
        <v>21</v>
      </c>
      <c r="N50" s="1" t="s">
        <v>40</v>
      </c>
      <c r="O50" s="2">
        <v>43100</v>
      </c>
      <c r="P50" s="2">
        <v>43131</v>
      </c>
      <c r="Q50" s="1" t="s">
        <v>22</v>
      </c>
    </row>
    <row r="51" spans="1:17" x14ac:dyDescent="0.25">
      <c r="A51" s="1" t="s">
        <v>39</v>
      </c>
      <c r="B51" s="1" t="s">
        <v>24</v>
      </c>
      <c r="C51" s="1" t="s">
        <v>231</v>
      </c>
      <c r="D51" s="1" t="s">
        <v>255</v>
      </c>
      <c r="E51" s="1" t="s">
        <v>256</v>
      </c>
      <c r="F51" s="1" t="s">
        <v>19</v>
      </c>
      <c r="G51" s="1" t="s">
        <v>227</v>
      </c>
      <c r="H51" s="1" t="s">
        <v>222</v>
      </c>
      <c r="I51" s="1" t="s">
        <v>21</v>
      </c>
      <c r="J51" s="3">
        <v>9529746</v>
      </c>
      <c r="K51" s="1" t="s">
        <v>142</v>
      </c>
      <c r="L51" s="1" t="s">
        <v>21</v>
      </c>
      <c r="M51" s="1" t="s">
        <v>21</v>
      </c>
      <c r="N51" s="1" t="s">
        <v>231</v>
      </c>
      <c r="O51" s="2">
        <v>43100</v>
      </c>
      <c r="P51" s="2">
        <v>43147</v>
      </c>
      <c r="Q51" s="1" t="s">
        <v>22</v>
      </c>
    </row>
    <row r="52" spans="1:17" x14ac:dyDescent="0.25">
      <c r="A52" s="1" t="s">
        <v>39</v>
      </c>
      <c r="B52" s="1" t="s">
        <v>24</v>
      </c>
      <c r="C52" s="1" t="s">
        <v>231</v>
      </c>
      <c r="D52" s="1" t="s">
        <v>257</v>
      </c>
      <c r="E52" s="1" t="s">
        <v>241</v>
      </c>
      <c r="F52" s="1" t="s">
        <v>19</v>
      </c>
      <c r="G52" s="1" t="s">
        <v>227</v>
      </c>
      <c r="H52" s="1" t="s">
        <v>222</v>
      </c>
      <c r="I52" s="1" t="s">
        <v>21</v>
      </c>
      <c r="J52" s="3">
        <v>436098</v>
      </c>
      <c r="K52" s="1" t="s">
        <v>142</v>
      </c>
      <c r="L52" s="1" t="s">
        <v>21</v>
      </c>
      <c r="M52" s="1" t="s">
        <v>21</v>
      </c>
      <c r="N52" s="1" t="s">
        <v>231</v>
      </c>
      <c r="O52" s="2">
        <v>43100</v>
      </c>
      <c r="P52" s="2">
        <v>43147</v>
      </c>
      <c r="Q52" s="1" t="s">
        <v>22</v>
      </c>
    </row>
    <row r="53" spans="1:17" x14ac:dyDescent="0.25">
      <c r="A53" s="1" t="s">
        <v>39</v>
      </c>
      <c r="B53" s="1" t="s">
        <v>24</v>
      </c>
      <c r="C53" s="1" t="s">
        <v>231</v>
      </c>
      <c r="D53" s="1" t="s">
        <v>258</v>
      </c>
      <c r="E53" s="1" t="s">
        <v>259</v>
      </c>
      <c r="F53" s="1" t="s">
        <v>19</v>
      </c>
      <c r="G53" s="1" t="s">
        <v>227</v>
      </c>
      <c r="H53" s="1" t="s">
        <v>222</v>
      </c>
      <c r="I53" s="1" t="s">
        <v>21</v>
      </c>
      <c r="J53" s="3">
        <v>518038</v>
      </c>
      <c r="K53" s="1" t="s">
        <v>142</v>
      </c>
      <c r="L53" s="1" t="s">
        <v>21</v>
      </c>
      <c r="M53" s="1" t="s">
        <v>21</v>
      </c>
      <c r="N53" s="1" t="s">
        <v>231</v>
      </c>
      <c r="O53" s="2">
        <v>43100</v>
      </c>
      <c r="P53" s="2">
        <v>43147</v>
      </c>
      <c r="Q53" s="1" t="s">
        <v>22</v>
      </c>
    </row>
    <row r="54" spans="1:17" x14ac:dyDescent="0.25">
      <c r="A54" s="1" t="s">
        <v>39</v>
      </c>
      <c r="B54" s="1" t="s">
        <v>24</v>
      </c>
      <c r="C54" s="1" t="s">
        <v>40</v>
      </c>
      <c r="D54" s="1" t="s">
        <v>252</v>
      </c>
      <c r="E54" s="1" t="s">
        <v>253</v>
      </c>
      <c r="F54" s="1" t="s">
        <v>19</v>
      </c>
      <c r="G54" s="1" t="s">
        <v>227</v>
      </c>
      <c r="H54" s="1" t="s">
        <v>222</v>
      </c>
      <c r="I54" s="1" t="s">
        <v>21</v>
      </c>
      <c r="J54" s="3">
        <v>-34</v>
      </c>
      <c r="K54" s="1" t="s">
        <v>128</v>
      </c>
      <c r="L54" s="1" t="s">
        <v>21</v>
      </c>
      <c r="M54" s="1" t="s">
        <v>21</v>
      </c>
      <c r="N54" s="1" t="s">
        <v>40</v>
      </c>
      <c r="O54" s="2">
        <v>43100</v>
      </c>
      <c r="P54" s="2">
        <v>43131</v>
      </c>
      <c r="Q54" s="1" t="s">
        <v>22</v>
      </c>
    </row>
    <row r="55" spans="1:17" x14ac:dyDescent="0.25">
      <c r="A55" s="1" t="s">
        <v>39</v>
      </c>
      <c r="B55" s="1" t="s">
        <v>24</v>
      </c>
      <c r="C55" s="1" t="s">
        <v>40</v>
      </c>
      <c r="D55" s="1" t="s">
        <v>254</v>
      </c>
      <c r="E55" s="1" t="s">
        <v>56</v>
      </c>
      <c r="F55" s="1" t="s">
        <v>19</v>
      </c>
      <c r="G55" s="1" t="s">
        <v>227</v>
      </c>
      <c r="H55" s="1" t="s">
        <v>222</v>
      </c>
      <c r="I55" s="1" t="s">
        <v>21</v>
      </c>
      <c r="J55" s="3">
        <v>-15274</v>
      </c>
      <c r="K55" s="1" t="s">
        <v>128</v>
      </c>
      <c r="L55" s="1" t="s">
        <v>21</v>
      </c>
      <c r="M55" s="1" t="s">
        <v>21</v>
      </c>
      <c r="N55" s="1" t="s">
        <v>40</v>
      </c>
      <c r="O55" s="2">
        <v>43100</v>
      </c>
      <c r="P55" s="2">
        <v>43131</v>
      </c>
      <c r="Q55" s="1" t="s">
        <v>22</v>
      </c>
    </row>
    <row r="56" spans="1:17" x14ac:dyDescent="0.25">
      <c r="A56" s="1" t="s">
        <v>39</v>
      </c>
      <c r="B56" s="1" t="s">
        <v>24</v>
      </c>
      <c r="C56" s="1" t="s">
        <v>40</v>
      </c>
      <c r="D56" s="1" t="s">
        <v>258</v>
      </c>
      <c r="E56" s="1" t="s">
        <v>259</v>
      </c>
      <c r="F56" s="1" t="s">
        <v>19</v>
      </c>
      <c r="G56" s="1" t="s">
        <v>227</v>
      </c>
      <c r="H56" s="1" t="s">
        <v>222</v>
      </c>
      <c r="I56" s="1" t="s">
        <v>21</v>
      </c>
      <c r="J56" s="3">
        <v>12124</v>
      </c>
      <c r="K56" s="1" t="s">
        <v>128</v>
      </c>
      <c r="L56" s="1" t="s">
        <v>21</v>
      </c>
      <c r="M56" s="1" t="s">
        <v>21</v>
      </c>
      <c r="N56" s="1" t="s">
        <v>40</v>
      </c>
      <c r="O56" s="2">
        <v>43100</v>
      </c>
      <c r="P56" s="2">
        <v>43131</v>
      </c>
      <c r="Q56" s="1" t="s">
        <v>22</v>
      </c>
    </row>
    <row r="57" spans="1:17" x14ac:dyDescent="0.25">
      <c r="A57" s="1" t="s">
        <v>39</v>
      </c>
      <c r="B57" s="1" t="s">
        <v>24</v>
      </c>
      <c r="C57" s="1" t="s">
        <v>40</v>
      </c>
      <c r="D57" s="1" t="s">
        <v>228</v>
      </c>
      <c r="E57" s="1" t="s">
        <v>30</v>
      </c>
      <c r="F57" s="1" t="s">
        <v>19</v>
      </c>
      <c r="G57" s="1" t="s">
        <v>227</v>
      </c>
      <c r="H57" s="1" t="s">
        <v>222</v>
      </c>
      <c r="I57" s="1" t="s">
        <v>21</v>
      </c>
      <c r="J57" s="3">
        <v>-1111546</v>
      </c>
      <c r="K57" s="1" t="s">
        <v>142</v>
      </c>
      <c r="L57" s="1" t="s">
        <v>21</v>
      </c>
      <c r="M57" s="1" t="s">
        <v>21</v>
      </c>
      <c r="N57" s="1" t="s">
        <v>40</v>
      </c>
      <c r="O57" s="2">
        <v>43100</v>
      </c>
      <c r="P57" s="2">
        <v>43131</v>
      </c>
      <c r="Q57" s="1" t="s">
        <v>22</v>
      </c>
    </row>
    <row r="58" spans="1:17" x14ac:dyDescent="0.25">
      <c r="A58" s="1" t="s">
        <v>39</v>
      </c>
      <c r="B58" s="1" t="s">
        <v>24</v>
      </c>
      <c r="C58" s="1" t="s">
        <v>231</v>
      </c>
      <c r="D58" s="1" t="s">
        <v>273</v>
      </c>
      <c r="E58" s="1" t="s">
        <v>240</v>
      </c>
      <c r="F58" s="1" t="s">
        <v>19</v>
      </c>
      <c r="G58" s="1" t="s">
        <v>227</v>
      </c>
      <c r="H58" s="1" t="s">
        <v>224</v>
      </c>
      <c r="I58" s="1" t="s">
        <v>21</v>
      </c>
      <c r="J58" s="3">
        <v>-111251</v>
      </c>
      <c r="K58" s="1" t="s">
        <v>142</v>
      </c>
      <c r="L58" s="1" t="s">
        <v>21</v>
      </c>
      <c r="M58" s="1" t="s">
        <v>21</v>
      </c>
      <c r="N58" s="1" t="s">
        <v>231</v>
      </c>
      <c r="O58" s="2">
        <v>43100</v>
      </c>
      <c r="P58" s="2">
        <v>43147</v>
      </c>
      <c r="Q58" s="1" t="s">
        <v>22</v>
      </c>
    </row>
    <row r="59" spans="1:17" x14ac:dyDescent="0.25">
      <c r="A59" s="1" t="s">
        <v>39</v>
      </c>
      <c r="B59" s="1" t="s">
        <v>24</v>
      </c>
      <c r="C59" s="1" t="s">
        <v>231</v>
      </c>
      <c r="D59" s="1" t="s">
        <v>274</v>
      </c>
      <c r="E59" s="1" t="s">
        <v>267</v>
      </c>
      <c r="F59" s="1" t="s">
        <v>19</v>
      </c>
      <c r="G59" s="1" t="s">
        <v>227</v>
      </c>
      <c r="H59" s="1" t="s">
        <v>224</v>
      </c>
      <c r="I59" s="1" t="s">
        <v>21</v>
      </c>
      <c r="J59" s="3">
        <v>-47289</v>
      </c>
      <c r="K59" s="1" t="s">
        <v>142</v>
      </c>
      <c r="L59" s="1" t="s">
        <v>21</v>
      </c>
      <c r="M59" s="1" t="s">
        <v>21</v>
      </c>
      <c r="N59" s="1" t="s">
        <v>231</v>
      </c>
      <c r="O59" s="2">
        <v>43100</v>
      </c>
      <c r="P59" s="2">
        <v>43147</v>
      </c>
      <c r="Q59" s="1" t="s">
        <v>22</v>
      </c>
    </row>
    <row r="60" spans="1:17" x14ac:dyDescent="0.25">
      <c r="A60" s="1" t="s">
        <v>39</v>
      </c>
      <c r="B60" s="1" t="s">
        <v>24</v>
      </c>
      <c r="C60" s="1" t="s">
        <v>231</v>
      </c>
      <c r="D60" s="1" t="s">
        <v>275</v>
      </c>
      <c r="E60" s="1" t="s">
        <v>261</v>
      </c>
      <c r="F60" s="1" t="s">
        <v>19</v>
      </c>
      <c r="G60" s="1" t="s">
        <v>227</v>
      </c>
      <c r="H60" s="1" t="s">
        <v>224</v>
      </c>
      <c r="I60" s="1" t="s">
        <v>21</v>
      </c>
      <c r="J60" s="3">
        <v>-13517</v>
      </c>
      <c r="K60" s="1" t="s">
        <v>142</v>
      </c>
      <c r="L60" s="1" t="s">
        <v>21</v>
      </c>
      <c r="M60" s="1" t="s">
        <v>21</v>
      </c>
      <c r="N60" s="1" t="s">
        <v>231</v>
      </c>
      <c r="O60" s="2">
        <v>43100</v>
      </c>
      <c r="P60" s="2">
        <v>43147</v>
      </c>
      <c r="Q60" s="1" t="s">
        <v>22</v>
      </c>
    </row>
    <row r="61" spans="1:17" x14ac:dyDescent="0.25">
      <c r="A61" s="1" t="s">
        <v>39</v>
      </c>
      <c r="B61" s="1" t="s">
        <v>24</v>
      </c>
      <c r="C61" s="1" t="s">
        <v>40</v>
      </c>
      <c r="D61" s="1" t="s">
        <v>252</v>
      </c>
      <c r="E61" s="1" t="s">
        <v>253</v>
      </c>
      <c r="F61" s="1" t="s">
        <v>19</v>
      </c>
      <c r="G61" s="1" t="s">
        <v>227</v>
      </c>
      <c r="H61" s="1" t="s">
        <v>222</v>
      </c>
      <c r="I61" s="1" t="s">
        <v>21</v>
      </c>
      <c r="J61" s="3">
        <v>-2208729</v>
      </c>
      <c r="K61" s="1" t="s">
        <v>142</v>
      </c>
      <c r="L61" s="1" t="s">
        <v>21</v>
      </c>
      <c r="M61" s="1" t="s">
        <v>21</v>
      </c>
      <c r="N61" s="1" t="s">
        <v>40</v>
      </c>
      <c r="O61" s="2">
        <v>43100</v>
      </c>
      <c r="P61" s="2">
        <v>43131</v>
      </c>
      <c r="Q61" s="1" t="s">
        <v>22</v>
      </c>
    </row>
    <row r="62" spans="1:17" x14ac:dyDescent="0.25">
      <c r="A62" s="1" t="s">
        <v>39</v>
      </c>
      <c r="B62" s="1" t="s">
        <v>24</v>
      </c>
      <c r="C62" s="1" t="s">
        <v>40</v>
      </c>
      <c r="D62" s="1" t="s">
        <v>255</v>
      </c>
      <c r="E62" s="1" t="s">
        <v>256</v>
      </c>
      <c r="F62" s="1" t="s">
        <v>19</v>
      </c>
      <c r="G62" s="1" t="s">
        <v>227</v>
      </c>
      <c r="H62" s="1" t="s">
        <v>222</v>
      </c>
      <c r="I62" s="1" t="s">
        <v>21</v>
      </c>
      <c r="J62" s="3">
        <v>-90</v>
      </c>
      <c r="K62" s="1" t="s">
        <v>128</v>
      </c>
      <c r="L62" s="1" t="s">
        <v>21</v>
      </c>
      <c r="M62" s="1" t="s">
        <v>21</v>
      </c>
      <c r="N62" s="1" t="s">
        <v>40</v>
      </c>
      <c r="O62" s="2">
        <v>43100</v>
      </c>
      <c r="P62" s="2">
        <v>43131</v>
      </c>
      <c r="Q62" s="1" t="s">
        <v>22</v>
      </c>
    </row>
    <row r="63" spans="1:17" x14ac:dyDescent="0.25">
      <c r="A63" s="1" t="s">
        <v>39</v>
      </c>
      <c r="B63" s="1" t="s">
        <v>24</v>
      </c>
      <c r="C63" s="1" t="s">
        <v>40</v>
      </c>
      <c r="D63" s="1" t="s">
        <v>258</v>
      </c>
      <c r="E63" s="1" t="s">
        <v>259</v>
      </c>
      <c r="F63" s="1" t="s">
        <v>19</v>
      </c>
      <c r="G63" s="1" t="s">
        <v>227</v>
      </c>
      <c r="H63" s="1" t="s">
        <v>222</v>
      </c>
      <c r="I63" s="1" t="s">
        <v>21</v>
      </c>
      <c r="J63" s="3">
        <v>-4054634</v>
      </c>
      <c r="K63" s="1" t="s">
        <v>142</v>
      </c>
      <c r="L63" s="1" t="s">
        <v>21</v>
      </c>
      <c r="M63" s="1" t="s">
        <v>21</v>
      </c>
      <c r="N63" s="1" t="s">
        <v>40</v>
      </c>
      <c r="O63" s="2">
        <v>43100</v>
      </c>
      <c r="P63" s="2">
        <v>43131</v>
      </c>
      <c r="Q63" s="1" t="s">
        <v>22</v>
      </c>
    </row>
    <row r="64" spans="1:17" x14ac:dyDescent="0.25">
      <c r="A64" s="1" t="s">
        <v>39</v>
      </c>
      <c r="B64" s="1" t="s">
        <v>24</v>
      </c>
      <c r="C64" s="1" t="s">
        <v>40</v>
      </c>
      <c r="D64" s="1" t="s">
        <v>260</v>
      </c>
      <c r="E64" s="1" t="s">
        <v>261</v>
      </c>
      <c r="F64" s="1" t="s">
        <v>19</v>
      </c>
      <c r="G64" s="1" t="s">
        <v>227</v>
      </c>
      <c r="H64" s="1" t="s">
        <v>222</v>
      </c>
      <c r="I64" s="1" t="s">
        <v>21</v>
      </c>
      <c r="J64" s="3">
        <v>-13517</v>
      </c>
      <c r="K64" s="1" t="s">
        <v>142</v>
      </c>
      <c r="L64" s="1" t="s">
        <v>21</v>
      </c>
      <c r="M64" s="1" t="s">
        <v>21</v>
      </c>
      <c r="N64" s="1" t="s">
        <v>40</v>
      </c>
      <c r="O64" s="2">
        <v>43100</v>
      </c>
      <c r="P64" s="2">
        <v>43131</v>
      </c>
      <c r="Q64" s="1" t="s">
        <v>22</v>
      </c>
    </row>
    <row r="65" spans="1:17" x14ac:dyDescent="0.25">
      <c r="A65" s="1" t="s">
        <v>39</v>
      </c>
      <c r="B65" s="1" t="s">
        <v>24</v>
      </c>
      <c r="C65" s="1" t="s">
        <v>231</v>
      </c>
      <c r="D65" s="1" t="s">
        <v>265</v>
      </c>
      <c r="E65" s="1" t="s">
        <v>253</v>
      </c>
      <c r="F65" s="1" t="s">
        <v>19</v>
      </c>
      <c r="G65" s="1" t="s">
        <v>227</v>
      </c>
      <c r="H65" s="1" t="s">
        <v>224</v>
      </c>
      <c r="I65" s="1" t="s">
        <v>21</v>
      </c>
      <c r="J65" s="3">
        <v>-2208729</v>
      </c>
      <c r="K65" s="1" t="s">
        <v>142</v>
      </c>
      <c r="L65" s="1" t="s">
        <v>21</v>
      </c>
      <c r="M65" s="1" t="s">
        <v>21</v>
      </c>
      <c r="N65" s="1" t="s">
        <v>231</v>
      </c>
      <c r="O65" s="2">
        <v>43100</v>
      </c>
      <c r="P65" s="2">
        <v>43147</v>
      </c>
      <c r="Q65" s="1" t="s">
        <v>22</v>
      </c>
    </row>
    <row r="66" spans="1:17" x14ac:dyDescent="0.25">
      <c r="A66" s="1" t="s">
        <v>39</v>
      </c>
      <c r="B66" s="1" t="s">
        <v>24</v>
      </c>
      <c r="C66" s="1" t="s">
        <v>231</v>
      </c>
      <c r="D66" s="1" t="s">
        <v>263</v>
      </c>
      <c r="E66" s="1" t="s">
        <v>241</v>
      </c>
      <c r="F66" s="1" t="s">
        <v>19</v>
      </c>
      <c r="G66" s="1" t="s">
        <v>227</v>
      </c>
      <c r="H66" s="1" t="s">
        <v>224</v>
      </c>
      <c r="I66" s="1" t="s">
        <v>21</v>
      </c>
      <c r="J66" s="3">
        <v>-818586</v>
      </c>
      <c r="K66" s="1" t="s">
        <v>142</v>
      </c>
      <c r="L66" s="1" t="s">
        <v>21</v>
      </c>
      <c r="M66" s="1" t="s">
        <v>21</v>
      </c>
      <c r="N66" s="1" t="s">
        <v>231</v>
      </c>
      <c r="O66" s="2">
        <v>43100</v>
      </c>
      <c r="P66" s="2">
        <v>43147</v>
      </c>
      <c r="Q66" s="1" t="s">
        <v>22</v>
      </c>
    </row>
    <row r="67" spans="1:17" x14ac:dyDescent="0.25">
      <c r="A67" s="1" t="s">
        <v>39</v>
      </c>
      <c r="B67" s="1" t="s">
        <v>24</v>
      </c>
      <c r="C67" s="1" t="s">
        <v>231</v>
      </c>
      <c r="D67" s="1" t="s">
        <v>269</v>
      </c>
      <c r="E67" s="1" t="s">
        <v>259</v>
      </c>
      <c r="F67" s="1" t="s">
        <v>19</v>
      </c>
      <c r="G67" s="1" t="s">
        <v>227</v>
      </c>
      <c r="H67" s="1" t="s">
        <v>224</v>
      </c>
      <c r="I67" s="1" t="s">
        <v>21</v>
      </c>
      <c r="J67" s="3">
        <v>-4054634</v>
      </c>
      <c r="K67" s="1" t="s">
        <v>142</v>
      </c>
      <c r="L67" s="1" t="s">
        <v>21</v>
      </c>
      <c r="M67" s="1" t="s">
        <v>21</v>
      </c>
      <c r="N67" s="1" t="s">
        <v>231</v>
      </c>
      <c r="O67" s="2">
        <v>43100</v>
      </c>
      <c r="P67" s="2">
        <v>43147</v>
      </c>
      <c r="Q67" s="1" t="s">
        <v>22</v>
      </c>
    </row>
    <row r="68" spans="1:17" x14ac:dyDescent="0.25">
      <c r="A68" s="1" t="s">
        <v>39</v>
      </c>
      <c r="B68" s="1" t="s">
        <v>24</v>
      </c>
      <c r="C68" s="1" t="s">
        <v>231</v>
      </c>
      <c r="D68" s="1" t="s">
        <v>226</v>
      </c>
      <c r="E68" s="1" t="s">
        <v>30</v>
      </c>
      <c r="F68" s="1" t="s">
        <v>19</v>
      </c>
      <c r="G68" s="1" t="s">
        <v>227</v>
      </c>
      <c r="H68" s="1" t="s">
        <v>224</v>
      </c>
      <c r="I68" s="1" t="s">
        <v>21</v>
      </c>
      <c r="J68" s="3">
        <v>-1111546</v>
      </c>
      <c r="K68" s="1" t="s">
        <v>142</v>
      </c>
      <c r="L68" s="1" t="s">
        <v>21</v>
      </c>
      <c r="M68" s="1" t="s">
        <v>21</v>
      </c>
      <c r="N68" s="1" t="s">
        <v>231</v>
      </c>
      <c r="O68" s="2">
        <v>43100</v>
      </c>
      <c r="P68" s="2">
        <v>43147</v>
      </c>
      <c r="Q68" s="1" t="s">
        <v>22</v>
      </c>
    </row>
    <row r="69" spans="1:17" x14ac:dyDescent="0.25">
      <c r="A69" s="1" t="s">
        <v>23</v>
      </c>
      <c r="B69" s="1" t="s">
        <v>256</v>
      </c>
      <c r="C69" s="1" t="s">
        <v>276</v>
      </c>
      <c r="D69" s="1" t="s">
        <v>255</v>
      </c>
      <c r="E69" s="1" t="s">
        <v>256</v>
      </c>
      <c r="F69" s="1" t="s">
        <v>19</v>
      </c>
      <c r="G69" s="1" t="s">
        <v>227</v>
      </c>
      <c r="H69" s="1" t="s">
        <v>222</v>
      </c>
      <c r="I69" s="1" t="s">
        <v>21</v>
      </c>
      <c r="J69" s="3">
        <v>-151019</v>
      </c>
      <c r="K69" s="1" t="s">
        <v>277</v>
      </c>
      <c r="L69" s="1" t="s">
        <v>21</v>
      </c>
      <c r="M69" s="1" t="s">
        <v>21</v>
      </c>
      <c r="N69" s="1" t="s">
        <v>276</v>
      </c>
      <c r="O69" s="2">
        <v>43100</v>
      </c>
      <c r="P69" s="2">
        <v>43147</v>
      </c>
      <c r="Q69" s="1" t="s">
        <v>22</v>
      </c>
    </row>
    <row r="70" spans="1:17" x14ac:dyDescent="0.25">
      <c r="A70" s="1" t="s">
        <v>39</v>
      </c>
      <c r="B70" s="1" t="s">
        <v>24</v>
      </c>
      <c r="C70" s="1" t="s">
        <v>40</v>
      </c>
      <c r="D70" s="1" t="s">
        <v>252</v>
      </c>
      <c r="E70" s="1" t="s">
        <v>253</v>
      </c>
      <c r="F70" s="1" t="s">
        <v>19</v>
      </c>
      <c r="G70" s="1" t="s">
        <v>227</v>
      </c>
      <c r="H70" s="1" t="s">
        <v>222</v>
      </c>
      <c r="I70" s="1" t="s">
        <v>21</v>
      </c>
      <c r="J70" s="3">
        <v>105</v>
      </c>
      <c r="K70" s="1" t="s">
        <v>128</v>
      </c>
      <c r="L70" s="1" t="s">
        <v>21</v>
      </c>
      <c r="M70" s="1" t="s">
        <v>21</v>
      </c>
      <c r="N70" s="1" t="s">
        <v>40</v>
      </c>
      <c r="O70" s="2">
        <v>43100</v>
      </c>
      <c r="P70" s="2">
        <v>43131</v>
      </c>
      <c r="Q70" s="1" t="s">
        <v>22</v>
      </c>
    </row>
    <row r="71" spans="1:17" x14ac:dyDescent="0.25">
      <c r="A71" s="1" t="s">
        <v>39</v>
      </c>
      <c r="B71" s="1" t="s">
        <v>24</v>
      </c>
      <c r="C71" s="1" t="s">
        <v>40</v>
      </c>
      <c r="D71" s="1" t="s">
        <v>254</v>
      </c>
      <c r="E71" s="1" t="s">
        <v>56</v>
      </c>
      <c r="F71" s="1" t="s">
        <v>19</v>
      </c>
      <c r="G71" s="1" t="s">
        <v>227</v>
      </c>
      <c r="H71" s="1" t="s">
        <v>222</v>
      </c>
      <c r="I71" s="1" t="s">
        <v>21</v>
      </c>
      <c r="J71" s="3">
        <v>-3604461</v>
      </c>
      <c r="K71" s="1" t="s">
        <v>142</v>
      </c>
      <c r="L71" s="1" t="s">
        <v>21</v>
      </c>
      <c r="M71" s="1" t="s">
        <v>21</v>
      </c>
      <c r="N71" s="1" t="s">
        <v>40</v>
      </c>
      <c r="O71" s="2">
        <v>43100</v>
      </c>
      <c r="P71" s="2">
        <v>43131</v>
      </c>
      <c r="Q71" s="1" t="s">
        <v>22</v>
      </c>
    </row>
    <row r="72" spans="1:17" x14ac:dyDescent="0.25">
      <c r="A72" s="1" t="s">
        <v>39</v>
      </c>
      <c r="B72" s="1" t="s">
        <v>24</v>
      </c>
      <c r="C72" s="1" t="s">
        <v>40</v>
      </c>
      <c r="D72" s="1" t="s">
        <v>257</v>
      </c>
      <c r="E72" s="1" t="s">
        <v>241</v>
      </c>
      <c r="F72" s="1" t="s">
        <v>19</v>
      </c>
      <c r="G72" s="1" t="s">
        <v>227</v>
      </c>
      <c r="H72" s="1" t="s">
        <v>222</v>
      </c>
      <c r="I72" s="1" t="s">
        <v>21</v>
      </c>
      <c r="J72" s="3">
        <v>-300762</v>
      </c>
      <c r="K72" s="1" t="s">
        <v>142</v>
      </c>
      <c r="L72" s="1" t="s">
        <v>21</v>
      </c>
      <c r="M72" s="1" t="s">
        <v>21</v>
      </c>
      <c r="N72" s="1" t="s">
        <v>40</v>
      </c>
      <c r="O72" s="2">
        <v>43100</v>
      </c>
      <c r="P72" s="2">
        <v>43131</v>
      </c>
      <c r="Q72" s="1" t="s">
        <v>22</v>
      </c>
    </row>
    <row r="73" spans="1:17" x14ac:dyDescent="0.25">
      <c r="A73" s="1" t="s">
        <v>39</v>
      </c>
      <c r="B73" s="1" t="s">
        <v>24</v>
      </c>
      <c r="C73" s="1" t="s">
        <v>40</v>
      </c>
      <c r="D73" s="1" t="s">
        <v>258</v>
      </c>
      <c r="E73" s="1" t="s">
        <v>259</v>
      </c>
      <c r="F73" s="1" t="s">
        <v>19</v>
      </c>
      <c r="G73" s="1" t="s">
        <v>227</v>
      </c>
      <c r="H73" s="1" t="s">
        <v>222</v>
      </c>
      <c r="I73" s="1" t="s">
        <v>21</v>
      </c>
      <c r="J73" s="3">
        <v>-10788</v>
      </c>
      <c r="K73" s="1" t="s">
        <v>128</v>
      </c>
      <c r="L73" s="1" t="s">
        <v>21</v>
      </c>
      <c r="M73" s="1" t="s">
        <v>21</v>
      </c>
      <c r="N73" s="1" t="s">
        <v>40</v>
      </c>
      <c r="O73" s="2">
        <v>43100</v>
      </c>
      <c r="P73" s="2">
        <v>43131</v>
      </c>
      <c r="Q73" s="1" t="s">
        <v>22</v>
      </c>
    </row>
    <row r="74" spans="1:17" x14ac:dyDescent="0.25">
      <c r="A74" s="1" t="s">
        <v>39</v>
      </c>
      <c r="B74" s="1" t="s">
        <v>24</v>
      </c>
      <c r="C74" s="1" t="s">
        <v>40</v>
      </c>
      <c r="D74" s="1" t="s">
        <v>258</v>
      </c>
      <c r="E74" s="1" t="s">
        <v>259</v>
      </c>
      <c r="F74" s="1" t="s">
        <v>19</v>
      </c>
      <c r="G74" s="1" t="s">
        <v>227</v>
      </c>
      <c r="H74" s="1" t="s">
        <v>222</v>
      </c>
      <c r="I74" s="1" t="s">
        <v>21</v>
      </c>
      <c r="J74" s="3">
        <v>-6326</v>
      </c>
      <c r="K74" s="1" t="s">
        <v>134</v>
      </c>
      <c r="L74" s="1" t="s">
        <v>21</v>
      </c>
      <c r="M74" s="1" t="s">
        <v>21</v>
      </c>
      <c r="N74" s="1" t="s">
        <v>40</v>
      </c>
      <c r="O74" s="2">
        <v>43100</v>
      </c>
      <c r="P74" s="2">
        <v>43131</v>
      </c>
      <c r="Q74" s="1" t="s">
        <v>22</v>
      </c>
    </row>
    <row r="75" spans="1:17" x14ac:dyDescent="0.25">
      <c r="A75" s="1" t="s">
        <v>39</v>
      </c>
      <c r="B75" s="1" t="s">
        <v>24</v>
      </c>
      <c r="C75" s="1" t="s">
        <v>40</v>
      </c>
      <c r="D75" s="1" t="s">
        <v>228</v>
      </c>
      <c r="E75" s="1" t="s">
        <v>30</v>
      </c>
      <c r="F75" s="1" t="s">
        <v>19</v>
      </c>
      <c r="G75" s="1" t="s">
        <v>227</v>
      </c>
      <c r="H75" s="1" t="s">
        <v>222</v>
      </c>
      <c r="I75" s="1" t="s">
        <v>21</v>
      </c>
      <c r="J75" s="3">
        <v>23847</v>
      </c>
      <c r="K75" s="1" t="s">
        <v>67</v>
      </c>
      <c r="L75" s="1" t="s">
        <v>21</v>
      </c>
      <c r="M75" s="1" t="s">
        <v>21</v>
      </c>
      <c r="N75" s="1" t="s">
        <v>40</v>
      </c>
      <c r="O75" s="2">
        <v>43100</v>
      </c>
      <c r="P75" s="2">
        <v>43131</v>
      </c>
      <c r="Q75" s="1" t="s">
        <v>22</v>
      </c>
    </row>
    <row r="76" spans="1:17" x14ac:dyDescent="0.25">
      <c r="A76" s="1" t="s">
        <v>39</v>
      </c>
      <c r="B76" s="1" t="s">
        <v>24</v>
      </c>
      <c r="C76" s="1" t="s">
        <v>40</v>
      </c>
      <c r="D76" s="1" t="s">
        <v>228</v>
      </c>
      <c r="E76" s="1" t="s">
        <v>30</v>
      </c>
      <c r="F76" s="1" t="s">
        <v>19</v>
      </c>
      <c r="G76" s="1" t="s">
        <v>227</v>
      </c>
      <c r="H76" s="1" t="s">
        <v>222</v>
      </c>
      <c r="I76" s="1" t="s">
        <v>21</v>
      </c>
      <c r="J76" s="3">
        <v>15142</v>
      </c>
      <c r="K76" s="1" t="s">
        <v>125</v>
      </c>
      <c r="L76" s="1" t="s">
        <v>21</v>
      </c>
      <c r="M76" s="1" t="s">
        <v>21</v>
      </c>
      <c r="N76" s="1" t="s">
        <v>40</v>
      </c>
      <c r="O76" s="2">
        <v>43100</v>
      </c>
      <c r="P76" s="2">
        <v>43131</v>
      </c>
      <c r="Q76" s="1" t="s">
        <v>22</v>
      </c>
    </row>
    <row r="77" spans="1:17" x14ac:dyDescent="0.25">
      <c r="A77" s="1" t="s">
        <v>39</v>
      </c>
      <c r="B77" s="1" t="s">
        <v>24</v>
      </c>
      <c r="C77" s="1" t="s">
        <v>40</v>
      </c>
      <c r="D77" s="1" t="s">
        <v>229</v>
      </c>
      <c r="E77" s="1" t="s">
        <v>18</v>
      </c>
      <c r="F77" s="1" t="s">
        <v>19</v>
      </c>
      <c r="G77" s="1" t="s">
        <v>227</v>
      </c>
      <c r="H77" s="1" t="s">
        <v>222</v>
      </c>
      <c r="I77" s="1" t="s">
        <v>21</v>
      </c>
      <c r="J77" s="3">
        <v>-74150</v>
      </c>
      <c r="K77" s="1" t="s">
        <v>134</v>
      </c>
      <c r="L77" s="1" t="s">
        <v>21</v>
      </c>
      <c r="M77" s="1" t="s">
        <v>21</v>
      </c>
      <c r="N77" s="1" t="s">
        <v>40</v>
      </c>
      <c r="O77" s="2">
        <v>43100</v>
      </c>
      <c r="P77" s="2">
        <v>43131</v>
      </c>
      <c r="Q77" s="1" t="s">
        <v>22</v>
      </c>
    </row>
    <row r="78" spans="1:17" x14ac:dyDescent="0.25">
      <c r="A78" s="1" t="s">
        <v>39</v>
      </c>
      <c r="B78" s="1" t="s">
        <v>24</v>
      </c>
      <c r="C78" s="1" t="s">
        <v>40</v>
      </c>
      <c r="D78" s="1" t="s">
        <v>255</v>
      </c>
      <c r="E78" s="1" t="s">
        <v>256</v>
      </c>
      <c r="F78" s="1" t="s">
        <v>19</v>
      </c>
      <c r="G78" s="1" t="s">
        <v>227</v>
      </c>
      <c r="H78" s="1" t="s">
        <v>222</v>
      </c>
      <c r="I78" s="1" t="s">
        <v>21</v>
      </c>
      <c r="J78" s="3">
        <v>2831</v>
      </c>
      <c r="K78" s="1" t="s">
        <v>125</v>
      </c>
      <c r="L78" s="1" t="s">
        <v>21</v>
      </c>
      <c r="M78" s="1" t="s">
        <v>21</v>
      </c>
      <c r="N78" s="1" t="s">
        <v>40</v>
      </c>
      <c r="O78" s="2">
        <v>43100</v>
      </c>
      <c r="P78" s="2">
        <v>43131</v>
      </c>
      <c r="Q78" s="1" t="s">
        <v>22</v>
      </c>
    </row>
    <row r="79" spans="1:17" x14ac:dyDescent="0.25">
      <c r="A79" s="1" t="s">
        <v>39</v>
      </c>
      <c r="B79" s="1" t="s">
        <v>24</v>
      </c>
      <c r="C79" s="1" t="s">
        <v>40</v>
      </c>
      <c r="D79" s="1" t="s">
        <v>262</v>
      </c>
      <c r="E79" s="1" t="s">
        <v>240</v>
      </c>
      <c r="F79" s="1" t="s">
        <v>19</v>
      </c>
      <c r="G79" s="1" t="s">
        <v>227</v>
      </c>
      <c r="H79" s="1" t="s">
        <v>222</v>
      </c>
      <c r="I79" s="1" t="s">
        <v>21</v>
      </c>
      <c r="J79" s="3">
        <v>217174</v>
      </c>
      <c r="K79" s="1" t="s">
        <v>67</v>
      </c>
      <c r="L79" s="1" t="s">
        <v>21</v>
      </c>
      <c r="M79" s="1" t="s">
        <v>21</v>
      </c>
      <c r="N79" s="1" t="s">
        <v>40</v>
      </c>
      <c r="O79" s="2">
        <v>43100</v>
      </c>
      <c r="P79" s="2">
        <v>43131</v>
      </c>
      <c r="Q79" s="1" t="s">
        <v>22</v>
      </c>
    </row>
    <row r="80" spans="1:17" x14ac:dyDescent="0.25">
      <c r="A80" s="1" t="s">
        <v>39</v>
      </c>
      <c r="B80" s="1" t="s">
        <v>24</v>
      </c>
      <c r="C80" s="1" t="s">
        <v>40</v>
      </c>
      <c r="D80" s="1" t="s">
        <v>266</v>
      </c>
      <c r="E80" s="1" t="s">
        <v>267</v>
      </c>
      <c r="F80" s="1" t="s">
        <v>19</v>
      </c>
      <c r="G80" s="1" t="s">
        <v>227</v>
      </c>
      <c r="H80" s="1" t="s">
        <v>222</v>
      </c>
      <c r="I80" s="1" t="s">
        <v>21</v>
      </c>
      <c r="J80" s="3">
        <v>-365</v>
      </c>
      <c r="K80" s="1" t="s">
        <v>133</v>
      </c>
      <c r="L80" s="1" t="s">
        <v>21</v>
      </c>
      <c r="M80" s="1" t="s">
        <v>21</v>
      </c>
      <c r="N80" s="1" t="s">
        <v>40</v>
      </c>
      <c r="O80" s="2">
        <v>43100</v>
      </c>
      <c r="P80" s="2">
        <v>43131</v>
      </c>
      <c r="Q80" s="1" t="s">
        <v>22</v>
      </c>
    </row>
    <row r="81" spans="1:17" x14ac:dyDescent="0.25">
      <c r="A81" s="1" t="s">
        <v>39</v>
      </c>
      <c r="B81" s="1" t="s">
        <v>24</v>
      </c>
      <c r="C81" s="1" t="s">
        <v>40</v>
      </c>
      <c r="D81" s="1" t="s">
        <v>258</v>
      </c>
      <c r="E81" s="1" t="s">
        <v>259</v>
      </c>
      <c r="F81" s="1" t="s">
        <v>19</v>
      </c>
      <c r="G81" s="1" t="s">
        <v>227</v>
      </c>
      <c r="H81" s="1" t="s">
        <v>222</v>
      </c>
      <c r="I81" s="1" t="s">
        <v>21</v>
      </c>
      <c r="J81" s="3">
        <v>1</v>
      </c>
      <c r="K81" s="1" t="s">
        <v>126</v>
      </c>
      <c r="L81" s="1" t="s">
        <v>21</v>
      </c>
      <c r="M81" s="1" t="s">
        <v>21</v>
      </c>
      <c r="N81" s="1" t="s">
        <v>40</v>
      </c>
      <c r="O81" s="2">
        <v>43100</v>
      </c>
      <c r="P81" s="2">
        <v>43131</v>
      </c>
      <c r="Q81" s="1" t="s">
        <v>22</v>
      </c>
    </row>
    <row r="82" spans="1:17" x14ac:dyDescent="0.25">
      <c r="A82" s="1" t="s">
        <v>39</v>
      </c>
      <c r="B82" s="1" t="s">
        <v>24</v>
      </c>
      <c r="C82" s="1" t="s">
        <v>40</v>
      </c>
      <c r="D82" s="1" t="s">
        <v>258</v>
      </c>
      <c r="E82" s="1" t="s">
        <v>259</v>
      </c>
      <c r="F82" s="1" t="s">
        <v>19</v>
      </c>
      <c r="G82" s="1" t="s">
        <v>227</v>
      </c>
      <c r="H82" s="1" t="s">
        <v>222</v>
      </c>
      <c r="I82" s="1" t="s">
        <v>21</v>
      </c>
      <c r="J82" s="3">
        <v>224824</v>
      </c>
      <c r="K82" s="1" t="s">
        <v>245</v>
      </c>
      <c r="L82" s="1" t="s">
        <v>21</v>
      </c>
      <c r="M82" s="1" t="s">
        <v>21</v>
      </c>
      <c r="N82" s="1" t="s">
        <v>40</v>
      </c>
      <c r="O82" s="2">
        <v>43100</v>
      </c>
      <c r="P82" s="2">
        <v>43131</v>
      </c>
      <c r="Q82" s="1" t="s">
        <v>22</v>
      </c>
    </row>
    <row r="83" spans="1:17" x14ac:dyDescent="0.25">
      <c r="A83" s="1" t="s">
        <v>39</v>
      </c>
      <c r="B83" s="1" t="s">
        <v>24</v>
      </c>
      <c r="C83" s="1" t="s">
        <v>40</v>
      </c>
      <c r="D83" s="1" t="s">
        <v>229</v>
      </c>
      <c r="E83" s="1" t="s">
        <v>18</v>
      </c>
      <c r="F83" s="1" t="s">
        <v>19</v>
      </c>
      <c r="G83" s="1" t="s">
        <v>227</v>
      </c>
      <c r="H83" s="1" t="s">
        <v>222</v>
      </c>
      <c r="I83" s="1" t="s">
        <v>21</v>
      </c>
      <c r="J83" s="3">
        <v>23446</v>
      </c>
      <c r="K83" s="1" t="s">
        <v>67</v>
      </c>
      <c r="L83" s="1" t="s">
        <v>21</v>
      </c>
      <c r="M83" s="1" t="s">
        <v>21</v>
      </c>
      <c r="N83" s="1" t="s">
        <v>40</v>
      </c>
      <c r="O83" s="2">
        <v>43100</v>
      </c>
      <c r="P83" s="2">
        <v>43131</v>
      </c>
      <c r="Q83" s="1" t="s">
        <v>22</v>
      </c>
    </row>
    <row r="84" spans="1:17" x14ac:dyDescent="0.25">
      <c r="A84" s="1" t="s">
        <v>39</v>
      </c>
      <c r="B84" s="1" t="s">
        <v>24</v>
      </c>
      <c r="C84" s="1" t="s">
        <v>40</v>
      </c>
      <c r="D84" s="1" t="s">
        <v>252</v>
      </c>
      <c r="E84" s="1" t="s">
        <v>253</v>
      </c>
      <c r="F84" s="1" t="s">
        <v>19</v>
      </c>
      <c r="G84" s="1" t="s">
        <v>227</v>
      </c>
      <c r="H84" s="1" t="s">
        <v>222</v>
      </c>
      <c r="I84" s="1" t="s">
        <v>21</v>
      </c>
      <c r="J84" s="3">
        <v>11531</v>
      </c>
      <c r="K84" s="1" t="s">
        <v>126</v>
      </c>
      <c r="L84" s="1" t="s">
        <v>21</v>
      </c>
      <c r="M84" s="1" t="s">
        <v>21</v>
      </c>
      <c r="N84" s="1" t="s">
        <v>40</v>
      </c>
      <c r="O84" s="2">
        <v>43100</v>
      </c>
      <c r="P84" s="2">
        <v>43131</v>
      </c>
      <c r="Q84" s="1" t="s">
        <v>22</v>
      </c>
    </row>
    <row r="85" spans="1:17" x14ac:dyDescent="0.25">
      <c r="A85" s="1" t="s">
        <v>39</v>
      </c>
      <c r="B85" s="1" t="s">
        <v>24</v>
      </c>
      <c r="C85" s="1" t="s">
        <v>40</v>
      </c>
      <c r="D85" s="1" t="s">
        <v>254</v>
      </c>
      <c r="E85" s="1" t="s">
        <v>56</v>
      </c>
      <c r="F85" s="1" t="s">
        <v>19</v>
      </c>
      <c r="G85" s="1" t="s">
        <v>227</v>
      </c>
      <c r="H85" s="1" t="s">
        <v>222</v>
      </c>
      <c r="I85" s="1" t="s">
        <v>21</v>
      </c>
      <c r="J85" s="3">
        <v>58561</v>
      </c>
      <c r="K85" s="1" t="s">
        <v>126</v>
      </c>
      <c r="L85" s="1" t="s">
        <v>21</v>
      </c>
      <c r="M85" s="1" t="s">
        <v>21</v>
      </c>
      <c r="N85" s="1" t="s">
        <v>40</v>
      </c>
      <c r="O85" s="2">
        <v>43100</v>
      </c>
      <c r="P85" s="2">
        <v>43131</v>
      </c>
      <c r="Q85" s="1" t="s">
        <v>22</v>
      </c>
    </row>
    <row r="86" spans="1:17" x14ac:dyDescent="0.25">
      <c r="A86" s="1" t="s">
        <v>39</v>
      </c>
      <c r="B86" s="1" t="s">
        <v>24</v>
      </c>
      <c r="C86" s="1" t="s">
        <v>40</v>
      </c>
      <c r="D86" s="1" t="s">
        <v>254</v>
      </c>
      <c r="E86" s="1" t="s">
        <v>56</v>
      </c>
      <c r="F86" s="1" t="s">
        <v>19</v>
      </c>
      <c r="G86" s="1" t="s">
        <v>227</v>
      </c>
      <c r="H86" s="1" t="s">
        <v>222</v>
      </c>
      <c r="I86" s="1" t="s">
        <v>21</v>
      </c>
      <c r="J86" s="3">
        <v>-35547</v>
      </c>
      <c r="K86" s="1" t="s">
        <v>133</v>
      </c>
      <c r="L86" s="1" t="s">
        <v>21</v>
      </c>
      <c r="M86" s="1" t="s">
        <v>21</v>
      </c>
      <c r="N86" s="1" t="s">
        <v>40</v>
      </c>
      <c r="O86" s="2">
        <v>43100</v>
      </c>
      <c r="P86" s="2">
        <v>43131</v>
      </c>
      <c r="Q86" s="1" t="s">
        <v>22</v>
      </c>
    </row>
    <row r="87" spans="1:17" x14ac:dyDescent="0.25">
      <c r="A87" s="1" t="s">
        <v>39</v>
      </c>
      <c r="B87" s="1" t="s">
        <v>24</v>
      </c>
      <c r="C87" s="1" t="s">
        <v>40</v>
      </c>
      <c r="D87" s="1" t="s">
        <v>255</v>
      </c>
      <c r="E87" s="1" t="s">
        <v>256</v>
      </c>
      <c r="F87" s="1" t="s">
        <v>19</v>
      </c>
      <c r="G87" s="1" t="s">
        <v>227</v>
      </c>
      <c r="H87" s="1" t="s">
        <v>222</v>
      </c>
      <c r="I87" s="1" t="s">
        <v>21</v>
      </c>
      <c r="J87" s="3">
        <v>-78</v>
      </c>
      <c r="K87" s="1" t="s">
        <v>67</v>
      </c>
      <c r="L87" s="1" t="s">
        <v>21</v>
      </c>
      <c r="M87" s="1" t="s">
        <v>21</v>
      </c>
      <c r="N87" s="1" t="s">
        <v>40</v>
      </c>
      <c r="O87" s="2">
        <v>43100</v>
      </c>
      <c r="P87" s="2">
        <v>43131</v>
      </c>
      <c r="Q87" s="1" t="s">
        <v>22</v>
      </c>
    </row>
    <row r="88" spans="1:17" x14ac:dyDescent="0.25">
      <c r="A88" s="1" t="s">
        <v>39</v>
      </c>
      <c r="B88" s="1" t="s">
        <v>24</v>
      </c>
      <c r="C88" s="1" t="s">
        <v>40</v>
      </c>
      <c r="D88" s="1" t="s">
        <v>257</v>
      </c>
      <c r="E88" s="1" t="s">
        <v>241</v>
      </c>
      <c r="F88" s="1" t="s">
        <v>19</v>
      </c>
      <c r="G88" s="1" t="s">
        <v>227</v>
      </c>
      <c r="H88" s="1" t="s">
        <v>222</v>
      </c>
      <c r="I88" s="1" t="s">
        <v>21</v>
      </c>
      <c r="J88" s="3">
        <v>-32904</v>
      </c>
      <c r="K88" s="1" t="s">
        <v>245</v>
      </c>
      <c r="L88" s="1" t="s">
        <v>21</v>
      </c>
      <c r="M88" s="1" t="s">
        <v>21</v>
      </c>
      <c r="N88" s="1" t="s">
        <v>40</v>
      </c>
      <c r="O88" s="2">
        <v>43100</v>
      </c>
      <c r="P88" s="2">
        <v>43131</v>
      </c>
      <c r="Q88" s="1" t="s">
        <v>22</v>
      </c>
    </row>
    <row r="89" spans="1:17" x14ac:dyDescent="0.25">
      <c r="A89" s="1" t="s">
        <v>39</v>
      </c>
      <c r="B89" s="1" t="s">
        <v>24</v>
      </c>
      <c r="C89" s="1" t="s">
        <v>40</v>
      </c>
      <c r="D89" s="1" t="s">
        <v>257</v>
      </c>
      <c r="E89" s="1" t="s">
        <v>241</v>
      </c>
      <c r="F89" s="1" t="s">
        <v>19</v>
      </c>
      <c r="G89" s="1" t="s">
        <v>227</v>
      </c>
      <c r="H89" s="1" t="s">
        <v>222</v>
      </c>
      <c r="I89" s="1" t="s">
        <v>21</v>
      </c>
      <c r="J89" s="3">
        <v>-172720</v>
      </c>
      <c r="K89" s="1" t="s">
        <v>134</v>
      </c>
      <c r="L89" s="1" t="s">
        <v>21</v>
      </c>
      <c r="M89" s="1" t="s">
        <v>21</v>
      </c>
      <c r="N89" s="1" t="s">
        <v>40</v>
      </c>
      <c r="O89" s="2">
        <v>43100</v>
      </c>
      <c r="P89" s="2">
        <v>43131</v>
      </c>
      <c r="Q89" s="1" t="s">
        <v>22</v>
      </c>
    </row>
    <row r="90" spans="1:17" x14ac:dyDescent="0.25">
      <c r="A90" s="1" t="s">
        <v>39</v>
      </c>
      <c r="B90" s="1" t="s">
        <v>24</v>
      </c>
      <c r="C90" s="1" t="s">
        <v>40</v>
      </c>
      <c r="D90" s="1" t="s">
        <v>257</v>
      </c>
      <c r="E90" s="1" t="s">
        <v>241</v>
      </c>
      <c r="F90" s="1" t="s">
        <v>19</v>
      </c>
      <c r="G90" s="1" t="s">
        <v>227</v>
      </c>
      <c r="H90" s="1" t="s">
        <v>222</v>
      </c>
      <c r="I90" s="1" t="s">
        <v>21</v>
      </c>
      <c r="J90" s="3">
        <v>467</v>
      </c>
      <c r="K90" s="1" t="s">
        <v>250</v>
      </c>
      <c r="L90" s="1" t="s">
        <v>21</v>
      </c>
      <c r="M90" s="1" t="s">
        <v>21</v>
      </c>
      <c r="N90" s="1" t="s">
        <v>40</v>
      </c>
      <c r="O90" s="2">
        <v>43100</v>
      </c>
      <c r="P90" s="2">
        <v>43131</v>
      </c>
      <c r="Q90" s="1" t="s">
        <v>22</v>
      </c>
    </row>
    <row r="91" spans="1:17" x14ac:dyDescent="0.25">
      <c r="A91" s="1" t="s">
        <v>39</v>
      </c>
      <c r="B91" s="1" t="s">
        <v>24</v>
      </c>
      <c r="C91" s="1" t="s">
        <v>40</v>
      </c>
      <c r="D91" s="1" t="s">
        <v>258</v>
      </c>
      <c r="E91" s="1" t="s">
        <v>259</v>
      </c>
      <c r="F91" s="1" t="s">
        <v>19</v>
      </c>
      <c r="G91" s="1" t="s">
        <v>227</v>
      </c>
      <c r="H91" s="1" t="s">
        <v>222</v>
      </c>
      <c r="I91" s="1" t="s">
        <v>21</v>
      </c>
      <c r="J91" s="3">
        <v>-167224</v>
      </c>
      <c r="K91" s="1" t="s">
        <v>245</v>
      </c>
      <c r="L91" s="1" t="s">
        <v>21</v>
      </c>
      <c r="M91" s="1" t="s">
        <v>21</v>
      </c>
      <c r="N91" s="1" t="s">
        <v>40</v>
      </c>
      <c r="O91" s="2">
        <v>43100</v>
      </c>
      <c r="P91" s="2">
        <v>43131</v>
      </c>
      <c r="Q91" s="1" t="s">
        <v>22</v>
      </c>
    </row>
    <row r="92" spans="1:17" x14ac:dyDescent="0.25">
      <c r="A92" s="1" t="s">
        <v>39</v>
      </c>
      <c r="B92" s="1" t="s">
        <v>24</v>
      </c>
      <c r="C92" s="1" t="s">
        <v>40</v>
      </c>
      <c r="D92" s="1" t="s">
        <v>228</v>
      </c>
      <c r="E92" s="1" t="s">
        <v>30</v>
      </c>
      <c r="F92" s="1" t="s">
        <v>19</v>
      </c>
      <c r="G92" s="1" t="s">
        <v>227</v>
      </c>
      <c r="H92" s="1" t="s">
        <v>222</v>
      </c>
      <c r="I92" s="1" t="s">
        <v>21</v>
      </c>
      <c r="J92" s="3">
        <v>30924</v>
      </c>
      <c r="K92" s="1" t="s">
        <v>126</v>
      </c>
      <c r="L92" s="1" t="s">
        <v>21</v>
      </c>
      <c r="M92" s="1" t="s">
        <v>21</v>
      </c>
      <c r="N92" s="1" t="s">
        <v>40</v>
      </c>
      <c r="O92" s="2">
        <v>43100</v>
      </c>
      <c r="P92" s="2">
        <v>43131</v>
      </c>
      <c r="Q92" s="1" t="s">
        <v>22</v>
      </c>
    </row>
    <row r="93" spans="1:17" x14ac:dyDescent="0.25">
      <c r="A93" s="1" t="s">
        <v>39</v>
      </c>
      <c r="B93" s="1" t="s">
        <v>24</v>
      </c>
      <c r="C93" s="1" t="s">
        <v>40</v>
      </c>
      <c r="D93" s="1" t="s">
        <v>228</v>
      </c>
      <c r="E93" s="1" t="s">
        <v>30</v>
      </c>
      <c r="F93" s="1" t="s">
        <v>19</v>
      </c>
      <c r="G93" s="1" t="s">
        <v>227</v>
      </c>
      <c r="H93" s="1" t="s">
        <v>222</v>
      </c>
      <c r="I93" s="1" t="s">
        <v>21</v>
      </c>
      <c r="J93" s="3">
        <v>-70917</v>
      </c>
      <c r="K93" s="1" t="s">
        <v>134</v>
      </c>
      <c r="L93" s="1" t="s">
        <v>21</v>
      </c>
      <c r="M93" s="1" t="s">
        <v>21</v>
      </c>
      <c r="N93" s="1" t="s">
        <v>40</v>
      </c>
      <c r="O93" s="2">
        <v>43100</v>
      </c>
      <c r="P93" s="2">
        <v>43131</v>
      </c>
      <c r="Q93" s="1" t="s">
        <v>22</v>
      </c>
    </row>
    <row r="94" spans="1:17" x14ac:dyDescent="0.25">
      <c r="A94" s="1" t="s">
        <v>39</v>
      </c>
      <c r="B94" s="1" t="s">
        <v>24</v>
      </c>
      <c r="C94" s="1" t="s">
        <v>40</v>
      </c>
      <c r="D94" s="1" t="s">
        <v>252</v>
      </c>
      <c r="E94" s="1" t="s">
        <v>253</v>
      </c>
      <c r="F94" s="1" t="s">
        <v>19</v>
      </c>
      <c r="G94" s="1" t="s">
        <v>227</v>
      </c>
      <c r="H94" s="1" t="s">
        <v>222</v>
      </c>
      <c r="I94" s="1" t="s">
        <v>21</v>
      </c>
      <c r="J94" s="3">
        <v>1</v>
      </c>
      <c r="K94" s="1" t="s">
        <v>126</v>
      </c>
      <c r="L94" s="1" t="s">
        <v>21</v>
      </c>
      <c r="M94" s="1" t="s">
        <v>21</v>
      </c>
      <c r="N94" s="1" t="s">
        <v>40</v>
      </c>
      <c r="O94" s="2">
        <v>43100</v>
      </c>
      <c r="P94" s="2">
        <v>43131</v>
      </c>
      <c r="Q94" s="1" t="s">
        <v>22</v>
      </c>
    </row>
    <row r="95" spans="1:17" x14ac:dyDescent="0.25">
      <c r="A95" s="1" t="s">
        <v>39</v>
      </c>
      <c r="B95" s="1" t="s">
        <v>24</v>
      </c>
      <c r="C95" s="1" t="s">
        <v>40</v>
      </c>
      <c r="D95" s="1" t="s">
        <v>268</v>
      </c>
      <c r="E95" s="1" t="s">
        <v>56</v>
      </c>
      <c r="F95" s="1" t="s">
        <v>19</v>
      </c>
      <c r="G95" s="1" t="s">
        <v>227</v>
      </c>
      <c r="H95" s="1" t="s">
        <v>224</v>
      </c>
      <c r="I95" s="1" t="s">
        <v>21</v>
      </c>
      <c r="J95" s="3">
        <v>57721</v>
      </c>
      <c r="K95" s="1" t="s">
        <v>63</v>
      </c>
      <c r="L95" s="1" t="s">
        <v>21</v>
      </c>
      <c r="M95" s="1" t="s">
        <v>21</v>
      </c>
      <c r="N95" s="1" t="s">
        <v>40</v>
      </c>
      <c r="O95" s="2">
        <v>43100</v>
      </c>
      <c r="P95" s="2">
        <v>43131</v>
      </c>
      <c r="Q95" s="1" t="s">
        <v>22</v>
      </c>
    </row>
    <row r="96" spans="1:17" x14ac:dyDescent="0.25">
      <c r="A96" s="1" t="s">
        <v>39</v>
      </c>
      <c r="B96" s="1" t="s">
        <v>24</v>
      </c>
      <c r="C96" s="1" t="s">
        <v>40</v>
      </c>
      <c r="D96" s="1" t="s">
        <v>254</v>
      </c>
      <c r="E96" s="1" t="s">
        <v>56</v>
      </c>
      <c r="F96" s="1" t="s">
        <v>19</v>
      </c>
      <c r="G96" s="1" t="s">
        <v>227</v>
      </c>
      <c r="H96" s="1" t="s">
        <v>222</v>
      </c>
      <c r="I96" s="1" t="s">
        <v>21</v>
      </c>
      <c r="J96" s="3">
        <v>5</v>
      </c>
      <c r="K96" s="1" t="s">
        <v>126</v>
      </c>
      <c r="L96" s="1" t="s">
        <v>21</v>
      </c>
      <c r="M96" s="1" t="s">
        <v>21</v>
      </c>
      <c r="N96" s="1" t="s">
        <v>40</v>
      </c>
      <c r="O96" s="2">
        <v>43100</v>
      </c>
      <c r="P96" s="2">
        <v>43131</v>
      </c>
      <c r="Q96" s="1" t="s">
        <v>22</v>
      </c>
    </row>
    <row r="97" spans="1:17" x14ac:dyDescent="0.25">
      <c r="A97" s="1" t="s">
        <v>39</v>
      </c>
      <c r="B97" s="1" t="s">
        <v>24</v>
      </c>
      <c r="C97" s="1" t="s">
        <v>40</v>
      </c>
      <c r="D97" s="1" t="s">
        <v>255</v>
      </c>
      <c r="E97" s="1" t="s">
        <v>256</v>
      </c>
      <c r="F97" s="1" t="s">
        <v>19</v>
      </c>
      <c r="G97" s="1" t="s">
        <v>227</v>
      </c>
      <c r="H97" s="1" t="s">
        <v>222</v>
      </c>
      <c r="I97" s="1" t="s">
        <v>21</v>
      </c>
      <c r="J97" s="3">
        <v>55622</v>
      </c>
      <c r="K97" s="1" t="s">
        <v>67</v>
      </c>
      <c r="L97" s="1" t="s">
        <v>21</v>
      </c>
      <c r="M97" s="1" t="s">
        <v>21</v>
      </c>
      <c r="N97" s="1" t="s">
        <v>40</v>
      </c>
      <c r="O97" s="2">
        <v>43100</v>
      </c>
      <c r="P97" s="2">
        <v>43131</v>
      </c>
      <c r="Q97" s="1" t="s">
        <v>22</v>
      </c>
    </row>
    <row r="98" spans="1:17" x14ac:dyDescent="0.25">
      <c r="A98" s="1" t="s">
        <v>39</v>
      </c>
      <c r="B98" s="1" t="s">
        <v>24</v>
      </c>
      <c r="C98" s="1" t="s">
        <v>40</v>
      </c>
      <c r="D98" s="1" t="s">
        <v>255</v>
      </c>
      <c r="E98" s="1" t="s">
        <v>256</v>
      </c>
      <c r="F98" s="1" t="s">
        <v>19</v>
      </c>
      <c r="G98" s="1" t="s">
        <v>227</v>
      </c>
      <c r="H98" s="1" t="s">
        <v>222</v>
      </c>
      <c r="I98" s="1" t="s">
        <v>21</v>
      </c>
      <c r="J98" s="3">
        <v>23520</v>
      </c>
      <c r="K98" s="1" t="s">
        <v>125</v>
      </c>
      <c r="L98" s="1" t="s">
        <v>21</v>
      </c>
      <c r="M98" s="1" t="s">
        <v>21</v>
      </c>
      <c r="N98" s="1" t="s">
        <v>40</v>
      </c>
      <c r="O98" s="2">
        <v>43100</v>
      </c>
      <c r="P98" s="2">
        <v>43131</v>
      </c>
      <c r="Q98" s="1" t="s">
        <v>22</v>
      </c>
    </row>
    <row r="99" spans="1:17" x14ac:dyDescent="0.25">
      <c r="A99" s="1" t="s">
        <v>39</v>
      </c>
      <c r="B99" s="1" t="s">
        <v>24</v>
      </c>
      <c r="C99" s="1" t="s">
        <v>40</v>
      </c>
      <c r="D99" s="1" t="s">
        <v>262</v>
      </c>
      <c r="E99" s="1" t="s">
        <v>240</v>
      </c>
      <c r="F99" s="1" t="s">
        <v>19</v>
      </c>
      <c r="G99" s="1" t="s">
        <v>227</v>
      </c>
      <c r="H99" s="1" t="s">
        <v>222</v>
      </c>
      <c r="I99" s="1" t="s">
        <v>21</v>
      </c>
      <c r="J99" s="3">
        <v>4427</v>
      </c>
      <c r="K99" s="1" t="s">
        <v>67</v>
      </c>
      <c r="L99" s="1" t="s">
        <v>21</v>
      </c>
      <c r="M99" s="1" t="s">
        <v>21</v>
      </c>
      <c r="N99" s="1" t="s">
        <v>40</v>
      </c>
      <c r="O99" s="2">
        <v>43100</v>
      </c>
      <c r="P99" s="2">
        <v>43131</v>
      </c>
      <c r="Q99" s="1" t="s">
        <v>22</v>
      </c>
    </row>
    <row r="100" spans="1:17" x14ac:dyDescent="0.25">
      <c r="A100" s="1" t="s">
        <v>39</v>
      </c>
      <c r="B100" s="1" t="s">
        <v>24</v>
      </c>
      <c r="C100" s="1" t="s">
        <v>40</v>
      </c>
      <c r="D100" s="1" t="s">
        <v>257</v>
      </c>
      <c r="E100" s="1" t="s">
        <v>241</v>
      </c>
      <c r="F100" s="1" t="s">
        <v>19</v>
      </c>
      <c r="G100" s="1" t="s">
        <v>227</v>
      </c>
      <c r="H100" s="1" t="s">
        <v>222</v>
      </c>
      <c r="I100" s="1" t="s">
        <v>21</v>
      </c>
      <c r="J100" s="3">
        <v>-31419</v>
      </c>
      <c r="K100" s="1" t="s">
        <v>125</v>
      </c>
      <c r="L100" s="1" t="s">
        <v>21</v>
      </c>
      <c r="M100" s="1" t="s">
        <v>21</v>
      </c>
      <c r="N100" s="1" t="s">
        <v>40</v>
      </c>
      <c r="O100" s="2">
        <v>43100</v>
      </c>
      <c r="P100" s="2">
        <v>43131</v>
      </c>
      <c r="Q100" s="1" t="s">
        <v>22</v>
      </c>
    </row>
    <row r="101" spans="1:17" x14ac:dyDescent="0.25">
      <c r="A101" s="1" t="s">
        <v>39</v>
      </c>
      <c r="B101" s="1" t="s">
        <v>24</v>
      </c>
      <c r="C101" s="1" t="s">
        <v>40</v>
      </c>
      <c r="D101" s="1" t="s">
        <v>266</v>
      </c>
      <c r="E101" s="1" t="s">
        <v>267</v>
      </c>
      <c r="F101" s="1" t="s">
        <v>19</v>
      </c>
      <c r="G101" s="1" t="s">
        <v>227</v>
      </c>
      <c r="H101" s="1" t="s">
        <v>222</v>
      </c>
      <c r="I101" s="1" t="s">
        <v>21</v>
      </c>
      <c r="J101" s="3">
        <v>-2492</v>
      </c>
      <c r="K101" s="1" t="s">
        <v>134</v>
      </c>
      <c r="L101" s="1" t="s">
        <v>21</v>
      </c>
      <c r="M101" s="1" t="s">
        <v>21</v>
      </c>
      <c r="N101" s="1" t="s">
        <v>40</v>
      </c>
      <c r="O101" s="2">
        <v>43100</v>
      </c>
      <c r="P101" s="2">
        <v>43131</v>
      </c>
      <c r="Q101" s="1" t="s">
        <v>22</v>
      </c>
    </row>
    <row r="102" spans="1:17" x14ac:dyDescent="0.25">
      <c r="A102" s="1" t="s">
        <v>39</v>
      </c>
      <c r="B102" s="1" t="s">
        <v>24</v>
      </c>
      <c r="C102" s="1" t="s">
        <v>40</v>
      </c>
      <c r="D102" s="1" t="s">
        <v>269</v>
      </c>
      <c r="E102" s="1" t="s">
        <v>259</v>
      </c>
      <c r="F102" s="1" t="s">
        <v>19</v>
      </c>
      <c r="G102" s="1" t="s">
        <v>227</v>
      </c>
      <c r="H102" s="1" t="s">
        <v>224</v>
      </c>
      <c r="I102" s="1" t="s">
        <v>21</v>
      </c>
      <c r="J102" s="3">
        <v>463096</v>
      </c>
      <c r="K102" s="1" t="s">
        <v>63</v>
      </c>
      <c r="L102" s="1" t="s">
        <v>21</v>
      </c>
      <c r="M102" s="1" t="s">
        <v>21</v>
      </c>
      <c r="N102" s="1" t="s">
        <v>40</v>
      </c>
      <c r="O102" s="2">
        <v>43100</v>
      </c>
      <c r="P102" s="2">
        <v>43131</v>
      </c>
      <c r="Q102" s="1" t="s">
        <v>22</v>
      </c>
    </row>
    <row r="103" spans="1:17" x14ac:dyDescent="0.25">
      <c r="A103" s="1" t="s">
        <v>39</v>
      </c>
      <c r="B103" s="1" t="s">
        <v>24</v>
      </c>
      <c r="C103" s="1" t="s">
        <v>40</v>
      </c>
      <c r="D103" s="1" t="s">
        <v>252</v>
      </c>
      <c r="E103" s="1" t="s">
        <v>253</v>
      </c>
      <c r="F103" s="1" t="s">
        <v>19</v>
      </c>
      <c r="G103" s="1" t="s">
        <v>227</v>
      </c>
      <c r="H103" s="1" t="s">
        <v>222</v>
      </c>
      <c r="I103" s="1" t="s">
        <v>21</v>
      </c>
      <c r="J103" s="3">
        <v>-166934</v>
      </c>
      <c r="K103" s="1" t="s">
        <v>130</v>
      </c>
      <c r="L103" s="1" t="s">
        <v>21</v>
      </c>
      <c r="M103" s="1" t="s">
        <v>21</v>
      </c>
      <c r="N103" s="1" t="s">
        <v>40</v>
      </c>
      <c r="O103" s="2">
        <v>43100</v>
      </c>
      <c r="P103" s="2">
        <v>43131</v>
      </c>
      <c r="Q103" s="1" t="s">
        <v>22</v>
      </c>
    </row>
    <row r="104" spans="1:17" x14ac:dyDescent="0.25">
      <c r="A104" s="1" t="s">
        <v>39</v>
      </c>
      <c r="B104" s="1" t="s">
        <v>24</v>
      </c>
      <c r="C104" s="1" t="s">
        <v>40</v>
      </c>
      <c r="D104" s="1" t="s">
        <v>262</v>
      </c>
      <c r="E104" s="1" t="s">
        <v>240</v>
      </c>
      <c r="F104" s="1" t="s">
        <v>19</v>
      </c>
      <c r="G104" s="1" t="s">
        <v>227</v>
      </c>
      <c r="H104" s="1" t="s">
        <v>222</v>
      </c>
      <c r="I104" s="1" t="s">
        <v>21</v>
      </c>
      <c r="J104" s="3">
        <v>-487</v>
      </c>
      <c r="K104" s="1" t="s">
        <v>88</v>
      </c>
      <c r="L104" s="1" t="s">
        <v>21</v>
      </c>
      <c r="M104" s="1" t="s">
        <v>21</v>
      </c>
      <c r="N104" s="1" t="s">
        <v>40</v>
      </c>
      <c r="O104" s="2">
        <v>43100</v>
      </c>
      <c r="P104" s="2">
        <v>43131</v>
      </c>
      <c r="Q104" s="1" t="s">
        <v>22</v>
      </c>
    </row>
    <row r="105" spans="1:17" x14ac:dyDescent="0.25">
      <c r="A105" s="1" t="s">
        <v>39</v>
      </c>
      <c r="B105" s="1" t="s">
        <v>24</v>
      </c>
      <c r="C105" s="1" t="s">
        <v>40</v>
      </c>
      <c r="D105" s="1" t="s">
        <v>258</v>
      </c>
      <c r="E105" s="1" t="s">
        <v>259</v>
      </c>
      <c r="F105" s="1" t="s">
        <v>19</v>
      </c>
      <c r="G105" s="1" t="s">
        <v>227</v>
      </c>
      <c r="H105" s="1" t="s">
        <v>222</v>
      </c>
      <c r="I105" s="1" t="s">
        <v>21</v>
      </c>
      <c r="J105" s="3">
        <v>-260609</v>
      </c>
      <c r="K105" s="1" t="s">
        <v>130</v>
      </c>
      <c r="L105" s="1" t="s">
        <v>21</v>
      </c>
      <c r="M105" s="1" t="s">
        <v>21</v>
      </c>
      <c r="N105" s="1" t="s">
        <v>40</v>
      </c>
      <c r="O105" s="2">
        <v>43100</v>
      </c>
      <c r="P105" s="2">
        <v>43131</v>
      </c>
      <c r="Q105" s="1" t="s">
        <v>22</v>
      </c>
    </row>
    <row r="106" spans="1:17" x14ac:dyDescent="0.25">
      <c r="A106" s="1" t="s">
        <v>39</v>
      </c>
      <c r="B106" s="1" t="s">
        <v>24</v>
      </c>
      <c r="C106" s="1" t="s">
        <v>83</v>
      </c>
      <c r="D106" s="1" t="s">
        <v>262</v>
      </c>
      <c r="E106" s="1" t="s">
        <v>240</v>
      </c>
      <c r="F106" s="1" t="s">
        <v>19</v>
      </c>
      <c r="G106" s="1" t="s">
        <v>227</v>
      </c>
      <c r="H106" s="1" t="s">
        <v>222</v>
      </c>
      <c r="I106" s="1" t="s">
        <v>21</v>
      </c>
      <c r="J106" s="3">
        <v>4519</v>
      </c>
      <c r="K106" s="1" t="s">
        <v>89</v>
      </c>
      <c r="L106" s="1" t="s">
        <v>21</v>
      </c>
      <c r="M106" s="1" t="s">
        <v>21</v>
      </c>
      <c r="N106" s="1" t="s">
        <v>83</v>
      </c>
      <c r="O106" s="2">
        <v>43100</v>
      </c>
      <c r="P106" s="2">
        <v>43147</v>
      </c>
      <c r="Q106" s="1" t="s">
        <v>22</v>
      </c>
    </row>
    <row r="107" spans="1:17" x14ac:dyDescent="0.25">
      <c r="A107" s="1" t="s">
        <v>39</v>
      </c>
      <c r="B107" s="1" t="s">
        <v>24</v>
      </c>
      <c r="C107" s="1" t="s">
        <v>83</v>
      </c>
      <c r="D107" s="1" t="s">
        <v>228</v>
      </c>
      <c r="E107" s="1" t="s">
        <v>30</v>
      </c>
      <c r="F107" s="1" t="s">
        <v>19</v>
      </c>
      <c r="G107" s="1" t="s">
        <v>227</v>
      </c>
      <c r="H107" s="1" t="s">
        <v>222</v>
      </c>
      <c r="I107" s="1" t="s">
        <v>21</v>
      </c>
      <c r="J107" s="3">
        <v>1766</v>
      </c>
      <c r="K107" s="1" t="s">
        <v>89</v>
      </c>
      <c r="L107" s="1" t="s">
        <v>21</v>
      </c>
      <c r="M107" s="1" t="s">
        <v>21</v>
      </c>
      <c r="N107" s="1" t="s">
        <v>83</v>
      </c>
      <c r="O107" s="2">
        <v>43100</v>
      </c>
      <c r="P107" s="2">
        <v>43147</v>
      </c>
      <c r="Q107" s="1" t="s">
        <v>22</v>
      </c>
    </row>
    <row r="108" spans="1:17" x14ac:dyDescent="0.25">
      <c r="A108" s="1" t="s">
        <v>39</v>
      </c>
      <c r="B108" s="1" t="s">
        <v>24</v>
      </c>
      <c r="C108" s="1" t="s">
        <v>40</v>
      </c>
      <c r="D108" s="1" t="s">
        <v>252</v>
      </c>
      <c r="E108" s="1" t="s">
        <v>253</v>
      </c>
      <c r="F108" s="1" t="s">
        <v>19</v>
      </c>
      <c r="G108" s="1" t="s">
        <v>227</v>
      </c>
      <c r="H108" s="1" t="s">
        <v>222</v>
      </c>
      <c r="I108" s="1" t="s">
        <v>21</v>
      </c>
      <c r="J108" s="3">
        <v>-14851</v>
      </c>
      <c r="K108" s="1" t="s">
        <v>88</v>
      </c>
      <c r="L108" s="1" t="s">
        <v>21</v>
      </c>
      <c r="M108" s="1" t="s">
        <v>21</v>
      </c>
      <c r="N108" s="1" t="s">
        <v>40</v>
      </c>
      <c r="O108" s="2">
        <v>43100</v>
      </c>
      <c r="P108" s="2">
        <v>43131</v>
      </c>
      <c r="Q108" s="1" t="s">
        <v>22</v>
      </c>
    </row>
    <row r="109" spans="1:17" x14ac:dyDescent="0.25">
      <c r="A109" s="1" t="s">
        <v>39</v>
      </c>
      <c r="B109" s="1" t="s">
        <v>24</v>
      </c>
      <c r="C109" s="1" t="s">
        <v>40</v>
      </c>
      <c r="D109" s="1" t="s">
        <v>257</v>
      </c>
      <c r="E109" s="1" t="s">
        <v>241</v>
      </c>
      <c r="F109" s="1" t="s">
        <v>19</v>
      </c>
      <c r="G109" s="1" t="s">
        <v>227</v>
      </c>
      <c r="H109" s="1" t="s">
        <v>222</v>
      </c>
      <c r="I109" s="1" t="s">
        <v>21</v>
      </c>
      <c r="J109" s="3">
        <v>23663</v>
      </c>
      <c r="K109" s="1" t="s">
        <v>129</v>
      </c>
      <c r="L109" s="1" t="s">
        <v>21</v>
      </c>
      <c r="M109" s="1" t="s">
        <v>21</v>
      </c>
      <c r="N109" s="1" t="s">
        <v>40</v>
      </c>
      <c r="O109" s="2">
        <v>43100</v>
      </c>
      <c r="P109" s="2">
        <v>43131</v>
      </c>
      <c r="Q109" s="1" t="s">
        <v>22</v>
      </c>
    </row>
    <row r="110" spans="1:17" x14ac:dyDescent="0.25">
      <c r="A110" s="1" t="s">
        <v>39</v>
      </c>
      <c r="B110" s="1" t="s">
        <v>24</v>
      </c>
      <c r="C110" s="1" t="s">
        <v>40</v>
      </c>
      <c r="D110" s="1" t="s">
        <v>260</v>
      </c>
      <c r="E110" s="1" t="s">
        <v>261</v>
      </c>
      <c r="F110" s="1" t="s">
        <v>19</v>
      </c>
      <c r="G110" s="1" t="s">
        <v>227</v>
      </c>
      <c r="H110" s="1" t="s">
        <v>222</v>
      </c>
      <c r="I110" s="1" t="s">
        <v>21</v>
      </c>
      <c r="J110" s="3">
        <v>-156</v>
      </c>
      <c r="K110" s="1" t="s">
        <v>88</v>
      </c>
      <c r="L110" s="1" t="s">
        <v>21</v>
      </c>
      <c r="M110" s="1" t="s">
        <v>21</v>
      </c>
      <c r="N110" s="1" t="s">
        <v>40</v>
      </c>
      <c r="O110" s="2">
        <v>43100</v>
      </c>
      <c r="P110" s="2">
        <v>43131</v>
      </c>
      <c r="Q110" s="1" t="s">
        <v>22</v>
      </c>
    </row>
    <row r="111" spans="1:17" x14ac:dyDescent="0.25">
      <c r="A111" s="1" t="s">
        <v>39</v>
      </c>
      <c r="B111" s="1" t="s">
        <v>24</v>
      </c>
      <c r="C111" s="1" t="s">
        <v>40</v>
      </c>
      <c r="D111" s="1" t="s">
        <v>229</v>
      </c>
      <c r="E111" s="1" t="s">
        <v>18</v>
      </c>
      <c r="F111" s="1" t="s">
        <v>19</v>
      </c>
      <c r="G111" s="1" t="s">
        <v>227</v>
      </c>
      <c r="H111" s="1" t="s">
        <v>222</v>
      </c>
      <c r="I111" s="1" t="s">
        <v>21</v>
      </c>
      <c r="J111" s="3">
        <v>-5539</v>
      </c>
      <c r="K111" s="1" t="s">
        <v>88</v>
      </c>
      <c r="L111" s="1" t="s">
        <v>21</v>
      </c>
      <c r="M111" s="1" t="s">
        <v>21</v>
      </c>
      <c r="N111" s="1" t="s">
        <v>40</v>
      </c>
      <c r="O111" s="2">
        <v>43100</v>
      </c>
      <c r="P111" s="2">
        <v>43131</v>
      </c>
      <c r="Q111" s="1" t="s">
        <v>22</v>
      </c>
    </row>
    <row r="112" spans="1:17" x14ac:dyDescent="0.25">
      <c r="A112" s="1" t="s">
        <v>39</v>
      </c>
      <c r="B112" s="1" t="s">
        <v>24</v>
      </c>
      <c r="C112" s="1" t="s">
        <v>83</v>
      </c>
      <c r="D112" s="1" t="s">
        <v>254</v>
      </c>
      <c r="E112" s="1" t="s">
        <v>56</v>
      </c>
      <c r="F112" s="1" t="s">
        <v>19</v>
      </c>
      <c r="G112" s="1" t="s">
        <v>227</v>
      </c>
      <c r="H112" s="1" t="s">
        <v>222</v>
      </c>
      <c r="I112" s="1" t="s">
        <v>21</v>
      </c>
      <c r="J112" s="3">
        <v>5664</v>
      </c>
      <c r="K112" s="1" t="s">
        <v>89</v>
      </c>
      <c r="L112" s="1" t="s">
        <v>21</v>
      </c>
      <c r="M112" s="1" t="s">
        <v>21</v>
      </c>
      <c r="N112" s="1" t="s">
        <v>83</v>
      </c>
      <c r="O112" s="2">
        <v>43100</v>
      </c>
      <c r="P112" s="2">
        <v>43147</v>
      </c>
      <c r="Q112" s="1" t="s">
        <v>22</v>
      </c>
    </row>
    <row r="113" spans="1:17" x14ac:dyDescent="0.25">
      <c r="A113" s="1" t="s">
        <v>39</v>
      </c>
      <c r="B113" s="1" t="s">
        <v>24</v>
      </c>
      <c r="C113" s="1" t="s">
        <v>83</v>
      </c>
      <c r="D113" s="1" t="s">
        <v>263</v>
      </c>
      <c r="E113" s="1" t="s">
        <v>241</v>
      </c>
      <c r="F113" s="1" t="s">
        <v>19</v>
      </c>
      <c r="G113" s="1" t="s">
        <v>227</v>
      </c>
      <c r="H113" s="1" t="s">
        <v>224</v>
      </c>
      <c r="I113" s="1" t="s">
        <v>21</v>
      </c>
      <c r="J113" s="3">
        <v>-14725</v>
      </c>
      <c r="K113" s="1" t="s">
        <v>89</v>
      </c>
      <c r="L113" s="1" t="s">
        <v>21</v>
      </c>
      <c r="M113" s="1" t="s">
        <v>21</v>
      </c>
      <c r="N113" s="1" t="s">
        <v>83</v>
      </c>
      <c r="O113" s="2">
        <v>43100</v>
      </c>
      <c r="P113" s="2">
        <v>43147</v>
      </c>
      <c r="Q113" s="1" t="s">
        <v>22</v>
      </c>
    </row>
    <row r="114" spans="1:17" x14ac:dyDescent="0.25">
      <c r="A114" s="1" t="s">
        <v>39</v>
      </c>
      <c r="B114" s="1" t="s">
        <v>24</v>
      </c>
      <c r="C114" s="1" t="s">
        <v>83</v>
      </c>
      <c r="D114" s="1" t="s">
        <v>228</v>
      </c>
      <c r="E114" s="1" t="s">
        <v>30</v>
      </c>
      <c r="F114" s="1" t="s">
        <v>19</v>
      </c>
      <c r="G114" s="1" t="s">
        <v>227</v>
      </c>
      <c r="H114" s="1" t="s">
        <v>222</v>
      </c>
      <c r="I114" s="1" t="s">
        <v>21</v>
      </c>
      <c r="J114" s="3">
        <v>59584</v>
      </c>
      <c r="K114" s="1" t="s">
        <v>89</v>
      </c>
      <c r="L114" s="1" t="s">
        <v>21</v>
      </c>
      <c r="M114" s="1" t="s">
        <v>21</v>
      </c>
      <c r="N114" s="1" t="s">
        <v>83</v>
      </c>
      <c r="O114" s="2">
        <v>43100</v>
      </c>
      <c r="P114" s="2">
        <v>43147</v>
      </c>
      <c r="Q114" s="1" t="s">
        <v>22</v>
      </c>
    </row>
    <row r="115" spans="1:17" x14ac:dyDescent="0.25">
      <c r="A115" s="1" t="s">
        <v>39</v>
      </c>
      <c r="B115" s="1" t="s">
        <v>24</v>
      </c>
      <c r="C115" s="1" t="s">
        <v>40</v>
      </c>
      <c r="D115" s="1" t="s">
        <v>255</v>
      </c>
      <c r="E115" s="1" t="s">
        <v>256</v>
      </c>
      <c r="F115" s="1" t="s">
        <v>19</v>
      </c>
      <c r="G115" s="1" t="s">
        <v>227</v>
      </c>
      <c r="H115" s="1" t="s">
        <v>222</v>
      </c>
      <c r="I115" s="1" t="s">
        <v>21</v>
      </c>
      <c r="J115" s="3">
        <v>-425215</v>
      </c>
      <c r="K115" s="1" t="s">
        <v>130</v>
      </c>
      <c r="L115" s="1" t="s">
        <v>21</v>
      </c>
      <c r="M115" s="1" t="s">
        <v>21</v>
      </c>
      <c r="N115" s="1" t="s">
        <v>40</v>
      </c>
      <c r="O115" s="2">
        <v>43100</v>
      </c>
      <c r="P115" s="2">
        <v>43131</v>
      </c>
      <c r="Q115" s="1" t="s">
        <v>22</v>
      </c>
    </row>
    <row r="116" spans="1:17" x14ac:dyDescent="0.25">
      <c r="A116" s="1" t="s">
        <v>39</v>
      </c>
      <c r="B116" s="1" t="s">
        <v>24</v>
      </c>
      <c r="C116" s="1" t="s">
        <v>40</v>
      </c>
      <c r="D116" s="1" t="s">
        <v>255</v>
      </c>
      <c r="E116" s="1" t="s">
        <v>256</v>
      </c>
      <c r="F116" s="1" t="s">
        <v>19</v>
      </c>
      <c r="G116" s="1" t="s">
        <v>227</v>
      </c>
      <c r="H116" s="1" t="s">
        <v>222</v>
      </c>
      <c r="I116" s="1" t="s">
        <v>21</v>
      </c>
      <c r="J116" s="3">
        <v>-54160</v>
      </c>
      <c r="K116" s="1" t="s">
        <v>88</v>
      </c>
      <c r="L116" s="1" t="s">
        <v>21</v>
      </c>
      <c r="M116" s="1" t="s">
        <v>21</v>
      </c>
      <c r="N116" s="1" t="s">
        <v>40</v>
      </c>
      <c r="O116" s="2">
        <v>43100</v>
      </c>
      <c r="P116" s="2">
        <v>43131</v>
      </c>
      <c r="Q116" s="1" t="s">
        <v>22</v>
      </c>
    </row>
    <row r="117" spans="1:17" x14ac:dyDescent="0.25">
      <c r="A117" s="1" t="s">
        <v>39</v>
      </c>
      <c r="B117" s="1" t="s">
        <v>24</v>
      </c>
      <c r="C117" s="1" t="s">
        <v>40</v>
      </c>
      <c r="D117" s="1" t="s">
        <v>262</v>
      </c>
      <c r="E117" s="1" t="s">
        <v>240</v>
      </c>
      <c r="F117" s="1" t="s">
        <v>19</v>
      </c>
      <c r="G117" s="1" t="s">
        <v>227</v>
      </c>
      <c r="H117" s="1" t="s">
        <v>222</v>
      </c>
      <c r="I117" s="1" t="s">
        <v>21</v>
      </c>
      <c r="J117" s="3">
        <v>-136391</v>
      </c>
      <c r="K117" s="1" t="s">
        <v>278</v>
      </c>
      <c r="L117" s="1" t="s">
        <v>21</v>
      </c>
      <c r="M117" s="1" t="s">
        <v>21</v>
      </c>
      <c r="N117" s="1" t="s">
        <v>40</v>
      </c>
      <c r="O117" s="2">
        <v>43100</v>
      </c>
      <c r="P117" s="2">
        <v>43131</v>
      </c>
      <c r="Q117" s="1" t="s">
        <v>22</v>
      </c>
    </row>
    <row r="118" spans="1:17" x14ac:dyDescent="0.25">
      <c r="A118" s="1" t="s">
        <v>39</v>
      </c>
      <c r="B118" s="1" t="s">
        <v>24</v>
      </c>
      <c r="C118" s="1" t="s">
        <v>40</v>
      </c>
      <c r="D118" s="1" t="s">
        <v>257</v>
      </c>
      <c r="E118" s="1" t="s">
        <v>241</v>
      </c>
      <c r="F118" s="1" t="s">
        <v>19</v>
      </c>
      <c r="G118" s="1" t="s">
        <v>227</v>
      </c>
      <c r="H118" s="1" t="s">
        <v>222</v>
      </c>
      <c r="I118" s="1" t="s">
        <v>21</v>
      </c>
      <c r="J118" s="3">
        <v>-129425</v>
      </c>
      <c r="K118" s="1" t="s">
        <v>130</v>
      </c>
      <c r="L118" s="1" t="s">
        <v>21</v>
      </c>
      <c r="M118" s="1" t="s">
        <v>21</v>
      </c>
      <c r="N118" s="1" t="s">
        <v>40</v>
      </c>
      <c r="O118" s="2">
        <v>43100</v>
      </c>
      <c r="P118" s="2">
        <v>43131</v>
      </c>
      <c r="Q118" s="1" t="s">
        <v>22</v>
      </c>
    </row>
    <row r="119" spans="1:17" x14ac:dyDescent="0.25">
      <c r="A119" s="1" t="s">
        <v>39</v>
      </c>
      <c r="B119" s="1" t="s">
        <v>24</v>
      </c>
      <c r="C119" s="1" t="s">
        <v>40</v>
      </c>
      <c r="D119" s="1" t="s">
        <v>229</v>
      </c>
      <c r="E119" s="1" t="s">
        <v>18</v>
      </c>
      <c r="F119" s="1" t="s">
        <v>19</v>
      </c>
      <c r="G119" s="1" t="s">
        <v>227</v>
      </c>
      <c r="H119" s="1" t="s">
        <v>222</v>
      </c>
      <c r="I119" s="1" t="s">
        <v>21</v>
      </c>
      <c r="J119" s="3">
        <v>-24451</v>
      </c>
      <c r="K119" s="1" t="s">
        <v>129</v>
      </c>
      <c r="L119" s="1" t="s">
        <v>21</v>
      </c>
      <c r="M119" s="1" t="s">
        <v>21</v>
      </c>
      <c r="N119" s="1" t="s">
        <v>40</v>
      </c>
      <c r="O119" s="2">
        <v>43100</v>
      </c>
      <c r="P119" s="2">
        <v>43131</v>
      </c>
      <c r="Q119" s="1" t="s">
        <v>22</v>
      </c>
    </row>
    <row r="120" spans="1:17" x14ac:dyDescent="0.25">
      <c r="A120" s="1" t="s">
        <v>39</v>
      </c>
      <c r="B120" s="1" t="s">
        <v>24</v>
      </c>
      <c r="C120" s="1" t="s">
        <v>83</v>
      </c>
      <c r="D120" s="1" t="s">
        <v>254</v>
      </c>
      <c r="E120" s="1" t="s">
        <v>56</v>
      </c>
      <c r="F120" s="1" t="s">
        <v>19</v>
      </c>
      <c r="G120" s="1" t="s">
        <v>227</v>
      </c>
      <c r="H120" s="1" t="s">
        <v>222</v>
      </c>
      <c r="I120" s="1" t="s">
        <v>21</v>
      </c>
      <c r="J120" s="3">
        <v>206681</v>
      </c>
      <c r="K120" s="1" t="s">
        <v>89</v>
      </c>
      <c r="L120" s="1" t="s">
        <v>21</v>
      </c>
      <c r="M120" s="1" t="s">
        <v>21</v>
      </c>
      <c r="N120" s="1" t="s">
        <v>83</v>
      </c>
      <c r="O120" s="2">
        <v>43100</v>
      </c>
      <c r="P120" s="2">
        <v>43147</v>
      </c>
      <c r="Q120" s="1" t="s">
        <v>22</v>
      </c>
    </row>
    <row r="121" spans="1:17" x14ac:dyDescent="0.25">
      <c r="A121" s="1" t="s">
        <v>39</v>
      </c>
      <c r="B121" s="1" t="s">
        <v>24</v>
      </c>
      <c r="C121" s="1" t="s">
        <v>83</v>
      </c>
      <c r="D121" s="1" t="s">
        <v>257</v>
      </c>
      <c r="E121" s="1" t="s">
        <v>241</v>
      </c>
      <c r="F121" s="1" t="s">
        <v>19</v>
      </c>
      <c r="G121" s="1" t="s">
        <v>227</v>
      </c>
      <c r="H121" s="1" t="s">
        <v>222</v>
      </c>
      <c r="I121" s="1" t="s">
        <v>21</v>
      </c>
      <c r="J121" s="3">
        <v>-39295</v>
      </c>
      <c r="K121" s="1" t="s">
        <v>89</v>
      </c>
      <c r="L121" s="1" t="s">
        <v>21</v>
      </c>
      <c r="M121" s="1" t="s">
        <v>21</v>
      </c>
      <c r="N121" s="1" t="s">
        <v>83</v>
      </c>
      <c r="O121" s="2">
        <v>43100</v>
      </c>
      <c r="P121" s="2">
        <v>43147</v>
      </c>
      <c r="Q121" s="1" t="s">
        <v>22</v>
      </c>
    </row>
    <row r="122" spans="1:17" x14ac:dyDescent="0.25">
      <c r="A122" s="1" t="s">
        <v>39</v>
      </c>
      <c r="B122" s="1" t="s">
        <v>24</v>
      </c>
      <c r="C122" s="1" t="s">
        <v>83</v>
      </c>
      <c r="D122" s="1" t="s">
        <v>229</v>
      </c>
      <c r="E122" s="1" t="s">
        <v>18</v>
      </c>
      <c r="F122" s="1" t="s">
        <v>19</v>
      </c>
      <c r="G122" s="1" t="s">
        <v>227</v>
      </c>
      <c r="H122" s="1" t="s">
        <v>222</v>
      </c>
      <c r="I122" s="1" t="s">
        <v>21</v>
      </c>
      <c r="J122" s="3">
        <v>1378</v>
      </c>
      <c r="K122" s="1" t="s">
        <v>89</v>
      </c>
      <c r="L122" s="1" t="s">
        <v>21</v>
      </c>
      <c r="M122" s="1" t="s">
        <v>21</v>
      </c>
      <c r="N122" s="1" t="s">
        <v>83</v>
      </c>
      <c r="O122" s="2">
        <v>43100</v>
      </c>
      <c r="P122" s="2">
        <v>43147</v>
      </c>
      <c r="Q122" s="1" t="s">
        <v>22</v>
      </c>
    </row>
    <row r="123" spans="1:17" x14ac:dyDescent="0.25">
      <c r="A123" s="1" t="s">
        <v>39</v>
      </c>
      <c r="B123" s="1" t="s">
        <v>24</v>
      </c>
      <c r="C123" s="1" t="s">
        <v>40</v>
      </c>
      <c r="D123" s="1" t="s">
        <v>252</v>
      </c>
      <c r="E123" s="1" t="s">
        <v>253</v>
      </c>
      <c r="F123" s="1" t="s">
        <v>19</v>
      </c>
      <c r="G123" s="1" t="s">
        <v>227</v>
      </c>
      <c r="H123" s="1" t="s">
        <v>222</v>
      </c>
      <c r="I123" s="1" t="s">
        <v>21</v>
      </c>
      <c r="J123" s="3">
        <v>-4349</v>
      </c>
      <c r="K123" s="1" t="s">
        <v>279</v>
      </c>
      <c r="L123" s="1" t="s">
        <v>21</v>
      </c>
      <c r="M123" s="1" t="s">
        <v>21</v>
      </c>
      <c r="N123" s="1" t="s">
        <v>40</v>
      </c>
      <c r="O123" s="2">
        <v>43100</v>
      </c>
      <c r="P123" s="2">
        <v>43131</v>
      </c>
      <c r="Q123" s="1" t="s">
        <v>22</v>
      </c>
    </row>
    <row r="124" spans="1:17" x14ac:dyDescent="0.25">
      <c r="A124" s="1" t="s">
        <v>39</v>
      </c>
      <c r="B124" s="1" t="s">
        <v>24</v>
      </c>
      <c r="C124" s="1" t="s">
        <v>83</v>
      </c>
      <c r="D124" s="1" t="s">
        <v>255</v>
      </c>
      <c r="E124" s="1" t="s">
        <v>256</v>
      </c>
      <c r="F124" s="1" t="s">
        <v>19</v>
      </c>
      <c r="G124" s="1" t="s">
        <v>227</v>
      </c>
      <c r="H124" s="1" t="s">
        <v>222</v>
      </c>
      <c r="I124" s="1" t="s">
        <v>21</v>
      </c>
      <c r="J124" s="3">
        <v>1717</v>
      </c>
      <c r="K124" s="1" t="s">
        <v>89</v>
      </c>
      <c r="L124" s="1" t="s">
        <v>21</v>
      </c>
      <c r="M124" s="1" t="s">
        <v>21</v>
      </c>
      <c r="N124" s="1" t="s">
        <v>83</v>
      </c>
      <c r="O124" s="2">
        <v>43100</v>
      </c>
      <c r="P124" s="2">
        <v>43147</v>
      </c>
      <c r="Q124" s="1" t="s">
        <v>22</v>
      </c>
    </row>
    <row r="125" spans="1:17" x14ac:dyDescent="0.25">
      <c r="A125" s="1" t="s">
        <v>39</v>
      </c>
      <c r="B125" s="1" t="s">
        <v>24</v>
      </c>
      <c r="C125" s="1" t="s">
        <v>83</v>
      </c>
      <c r="D125" s="1" t="s">
        <v>266</v>
      </c>
      <c r="E125" s="1" t="s">
        <v>267</v>
      </c>
      <c r="F125" s="1" t="s">
        <v>19</v>
      </c>
      <c r="G125" s="1" t="s">
        <v>227</v>
      </c>
      <c r="H125" s="1" t="s">
        <v>222</v>
      </c>
      <c r="I125" s="1" t="s">
        <v>21</v>
      </c>
      <c r="J125" s="3">
        <v>7894</v>
      </c>
      <c r="K125" s="1" t="s">
        <v>89</v>
      </c>
      <c r="L125" s="1" t="s">
        <v>21</v>
      </c>
      <c r="M125" s="1" t="s">
        <v>21</v>
      </c>
      <c r="N125" s="1" t="s">
        <v>83</v>
      </c>
      <c r="O125" s="2">
        <v>43100</v>
      </c>
      <c r="P125" s="2">
        <v>43147</v>
      </c>
      <c r="Q125" s="1" t="s">
        <v>22</v>
      </c>
    </row>
    <row r="126" spans="1:17" x14ac:dyDescent="0.25">
      <c r="A126" s="1" t="s">
        <v>39</v>
      </c>
      <c r="B126" s="1" t="s">
        <v>24</v>
      </c>
      <c r="C126" s="1" t="s">
        <v>40</v>
      </c>
      <c r="D126" s="1" t="s">
        <v>257</v>
      </c>
      <c r="E126" s="1" t="s">
        <v>241</v>
      </c>
      <c r="F126" s="1" t="s">
        <v>19</v>
      </c>
      <c r="G126" s="1" t="s">
        <v>227</v>
      </c>
      <c r="H126" s="1" t="s">
        <v>222</v>
      </c>
      <c r="I126" s="1" t="s">
        <v>21</v>
      </c>
      <c r="J126" s="3">
        <v>-15825</v>
      </c>
      <c r="K126" s="1" t="s">
        <v>88</v>
      </c>
      <c r="L126" s="1" t="s">
        <v>21</v>
      </c>
      <c r="M126" s="1" t="s">
        <v>21</v>
      </c>
      <c r="N126" s="1" t="s">
        <v>40</v>
      </c>
      <c r="O126" s="2">
        <v>43100</v>
      </c>
      <c r="P126" s="2">
        <v>43131</v>
      </c>
      <c r="Q126" s="1" t="s">
        <v>22</v>
      </c>
    </row>
    <row r="127" spans="1:17" x14ac:dyDescent="0.25">
      <c r="A127" s="1" t="s">
        <v>39</v>
      </c>
      <c r="B127" s="1" t="s">
        <v>24</v>
      </c>
      <c r="C127" s="1" t="s">
        <v>40</v>
      </c>
      <c r="D127" s="1" t="s">
        <v>257</v>
      </c>
      <c r="E127" s="1" t="s">
        <v>241</v>
      </c>
      <c r="F127" s="1" t="s">
        <v>19</v>
      </c>
      <c r="G127" s="1" t="s">
        <v>227</v>
      </c>
      <c r="H127" s="1" t="s">
        <v>222</v>
      </c>
      <c r="I127" s="1" t="s">
        <v>21</v>
      </c>
      <c r="J127" s="3">
        <v>23663</v>
      </c>
      <c r="K127" s="1" t="s">
        <v>129</v>
      </c>
      <c r="L127" s="1" t="s">
        <v>21</v>
      </c>
      <c r="M127" s="1" t="s">
        <v>21</v>
      </c>
      <c r="N127" s="1" t="s">
        <v>40</v>
      </c>
      <c r="O127" s="2">
        <v>43100</v>
      </c>
      <c r="P127" s="2">
        <v>43131</v>
      </c>
      <c r="Q127" s="1" t="s">
        <v>22</v>
      </c>
    </row>
    <row r="128" spans="1:17" x14ac:dyDescent="0.25">
      <c r="A128" s="1" t="s">
        <v>39</v>
      </c>
      <c r="B128" s="1" t="s">
        <v>24</v>
      </c>
      <c r="C128" s="1" t="s">
        <v>40</v>
      </c>
      <c r="D128" s="1" t="s">
        <v>254</v>
      </c>
      <c r="E128" s="1" t="s">
        <v>56</v>
      </c>
      <c r="F128" s="1" t="s">
        <v>19</v>
      </c>
      <c r="G128" s="1" t="s">
        <v>227</v>
      </c>
      <c r="H128" s="1" t="s">
        <v>222</v>
      </c>
      <c r="I128" s="1" t="s">
        <v>21</v>
      </c>
      <c r="J128" s="3">
        <v>-17332</v>
      </c>
      <c r="K128" s="1" t="s">
        <v>88</v>
      </c>
      <c r="L128" s="1" t="s">
        <v>21</v>
      </c>
      <c r="M128" s="1" t="s">
        <v>21</v>
      </c>
      <c r="N128" s="1" t="s">
        <v>40</v>
      </c>
      <c r="O128" s="2">
        <v>43100</v>
      </c>
      <c r="P128" s="2">
        <v>43131</v>
      </c>
      <c r="Q128" s="1" t="s">
        <v>22</v>
      </c>
    </row>
    <row r="129" spans="1:17" x14ac:dyDescent="0.25">
      <c r="A129" s="1" t="s">
        <v>39</v>
      </c>
      <c r="B129" s="1" t="s">
        <v>24</v>
      </c>
      <c r="C129" s="1" t="s">
        <v>40</v>
      </c>
      <c r="D129" s="1" t="s">
        <v>257</v>
      </c>
      <c r="E129" s="1" t="s">
        <v>241</v>
      </c>
      <c r="F129" s="1" t="s">
        <v>19</v>
      </c>
      <c r="G129" s="1" t="s">
        <v>227</v>
      </c>
      <c r="H129" s="1" t="s">
        <v>222</v>
      </c>
      <c r="I129" s="1" t="s">
        <v>21</v>
      </c>
      <c r="J129" s="3">
        <v>-94793</v>
      </c>
      <c r="K129" s="1" t="s">
        <v>129</v>
      </c>
      <c r="L129" s="1" t="s">
        <v>21</v>
      </c>
      <c r="M129" s="1" t="s">
        <v>21</v>
      </c>
      <c r="N129" s="1" t="s">
        <v>40</v>
      </c>
      <c r="O129" s="2">
        <v>43100</v>
      </c>
      <c r="P129" s="2">
        <v>43131</v>
      </c>
      <c r="Q129" s="1" t="s">
        <v>22</v>
      </c>
    </row>
    <row r="130" spans="1:17" x14ac:dyDescent="0.25">
      <c r="A130" s="1" t="s">
        <v>39</v>
      </c>
      <c r="B130" s="1" t="s">
        <v>24</v>
      </c>
      <c r="C130" s="1" t="s">
        <v>40</v>
      </c>
      <c r="D130" s="1" t="s">
        <v>258</v>
      </c>
      <c r="E130" s="1" t="s">
        <v>259</v>
      </c>
      <c r="F130" s="1" t="s">
        <v>19</v>
      </c>
      <c r="G130" s="1" t="s">
        <v>227</v>
      </c>
      <c r="H130" s="1" t="s">
        <v>222</v>
      </c>
      <c r="I130" s="1" t="s">
        <v>21</v>
      </c>
      <c r="J130" s="3">
        <v>-30626</v>
      </c>
      <c r="K130" s="1" t="s">
        <v>88</v>
      </c>
      <c r="L130" s="1" t="s">
        <v>21</v>
      </c>
      <c r="M130" s="1" t="s">
        <v>21</v>
      </c>
      <c r="N130" s="1" t="s">
        <v>40</v>
      </c>
      <c r="O130" s="2">
        <v>43100</v>
      </c>
      <c r="P130" s="2">
        <v>43131</v>
      </c>
      <c r="Q130" s="1" t="s">
        <v>22</v>
      </c>
    </row>
    <row r="131" spans="1:17" x14ac:dyDescent="0.25">
      <c r="A131" s="1" t="s">
        <v>39</v>
      </c>
      <c r="B131" s="1" t="s">
        <v>24</v>
      </c>
      <c r="C131" s="1" t="s">
        <v>40</v>
      </c>
      <c r="D131" s="1" t="s">
        <v>228</v>
      </c>
      <c r="E131" s="1" t="s">
        <v>30</v>
      </c>
      <c r="F131" s="1" t="s">
        <v>19</v>
      </c>
      <c r="G131" s="1" t="s">
        <v>227</v>
      </c>
      <c r="H131" s="1" t="s">
        <v>222</v>
      </c>
      <c r="I131" s="1" t="s">
        <v>21</v>
      </c>
      <c r="J131" s="3">
        <v>-6552</v>
      </c>
      <c r="K131" s="1" t="s">
        <v>88</v>
      </c>
      <c r="L131" s="1" t="s">
        <v>21</v>
      </c>
      <c r="M131" s="1" t="s">
        <v>21</v>
      </c>
      <c r="N131" s="1" t="s">
        <v>40</v>
      </c>
      <c r="O131" s="2">
        <v>43100</v>
      </c>
      <c r="P131" s="2">
        <v>43131</v>
      </c>
      <c r="Q131" s="1" t="s">
        <v>22</v>
      </c>
    </row>
    <row r="132" spans="1:17" x14ac:dyDescent="0.25">
      <c r="A132" s="1" t="s">
        <v>39</v>
      </c>
      <c r="B132" s="1" t="s">
        <v>24</v>
      </c>
      <c r="C132" s="1" t="s">
        <v>40</v>
      </c>
      <c r="D132" s="1" t="s">
        <v>228</v>
      </c>
      <c r="E132" s="1" t="s">
        <v>30</v>
      </c>
      <c r="F132" s="1" t="s">
        <v>19</v>
      </c>
      <c r="G132" s="1" t="s">
        <v>227</v>
      </c>
      <c r="H132" s="1" t="s">
        <v>222</v>
      </c>
      <c r="I132" s="1" t="s">
        <v>21</v>
      </c>
      <c r="J132" s="3">
        <v>-107571</v>
      </c>
      <c r="K132" s="1" t="s">
        <v>130</v>
      </c>
      <c r="L132" s="1" t="s">
        <v>21</v>
      </c>
      <c r="M132" s="1" t="s">
        <v>21</v>
      </c>
      <c r="N132" s="1" t="s">
        <v>40</v>
      </c>
      <c r="O132" s="2">
        <v>43100</v>
      </c>
      <c r="P132" s="2">
        <v>43131</v>
      </c>
      <c r="Q132" s="1" t="s">
        <v>22</v>
      </c>
    </row>
    <row r="133" spans="1:17" x14ac:dyDescent="0.25">
      <c r="A133" s="1" t="s">
        <v>39</v>
      </c>
      <c r="B133" s="1" t="s">
        <v>24</v>
      </c>
      <c r="C133" s="1" t="s">
        <v>40</v>
      </c>
      <c r="D133" s="1" t="s">
        <v>254</v>
      </c>
      <c r="E133" s="1" t="s">
        <v>56</v>
      </c>
      <c r="F133" s="1" t="s">
        <v>19</v>
      </c>
      <c r="G133" s="1" t="s">
        <v>227</v>
      </c>
      <c r="H133" s="1" t="s">
        <v>222</v>
      </c>
      <c r="I133" s="1" t="s">
        <v>21</v>
      </c>
      <c r="J133" s="3">
        <v>-73147</v>
      </c>
      <c r="K133" s="1" t="s">
        <v>129</v>
      </c>
      <c r="L133" s="1" t="s">
        <v>21</v>
      </c>
      <c r="M133" s="1" t="s">
        <v>21</v>
      </c>
      <c r="N133" s="1" t="s">
        <v>40</v>
      </c>
      <c r="O133" s="2">
        <v>43100</v>
      </c>
      <c r="P133" s="2">
        <v>43131</v>
      </c>
      <c r="Q133" s="1" t="s">
        <v>22</v>
      </c>
    </row>
    <row r="134" spans="1:17" x14ac:dyDescent="0.25">
      <c r="A134" s="1" t="s">
        <v>39</v>
      </c>
      <c r="B134" s="1" t="s">
        <v>24</v>
      </c>
      <c r="C134" s="1" t="s">
        <v>40</v>
      </c>
      <c r="D134" s="1" t="s">
        <v>254</v>
      </c>
      <c r="E134" s="1" t="s">
        <v>56</v>
      </c>
      <c r="F134" s="1" t="s">
        <v>19</v>
      </c>
      <c r="G134" s="1" t="s">
        <v>227</v>
      </c>
      <c r="H134" s="1" t="s">
        <v>222</v>
      </c>
      <c r="I134" s="1" t="s">
        <v>21</v>
      </c>
      <c r="J134" s="3">
        <v>-82836</v>
      </c>
      <c r="K134" s="1" t="s">
        <v>104</v>
      </c>
      <c r="L134" s="1" t="s">
        <v>21</v>
      </c>
      <c r="M134" s="1" t="s">
        <v>21</v>
      </c>
      <c r="N134" s="1" t="s">
        <v>40</v>
      </c>
      <c r="O134" s="2">
        <v>43100</v>
      </c>
      <c r="P134" s="2">
        <v>43131</v>
      </c>
      <c r="Q134" s="1" t="s">
        <v>22</v>
      </c>
    </row>
    <row r="135" spans="1:17" x14ac:dyDescent="0.25">
      <c r="A135" s="1" t="s">
        <v>39</v>
      </c>
      <c r="B135" s="1" t="s">
        <v>24</v>
      </c>
      <c r="C135" s="1" t="s">
        <v>40</v>
      </c>
      <c r="D135" s="1" t="s">
        <v>271</v>
      </c>
      <c r="E135" s="1" t="s">
        <v>256</v>
      </c>
      <c r="F135" s="1" t="s">
        <v>19</v>
      </c>
      <c r="G135" s="1" t="s">
        <v>227</v>
      </c>
      <c r="H135" s="1" t="s">
        <v>224</v>
      </c>
      <c r="I135" s="1" t="s">
        <v>21</v>
      </c>
      <c r="J135" s="3">
        <v>-11727</v>
      </c>
      <c r="K135" s="1" t="s">
        <v>42</v>
      </c>
      <c r="L135" s="1" t="s">
        <v>21</v>
      </c>
      <c r="M135" s="1" t="s">
        <v>21</v>
      </c>
      <c r="N135" s="1" t="s">
        <v>40</v>
      </c>
      <c r="O135" s="2">
        <v>43100</v>
      </c>
      <c r="P135" s="2">
        <v>43131</v>
      </c>
      <c r="Q135" s="1" t="s">
        <v>22</v>
      </c>
    </row>
    <row r="136" spans="1:17" x14ac:dyDescent="0.25">
      <c r="A136" s="1" t="s">
        <v>39</v>
      </c>
      <c r="B136" s="1" t="s">
        <v>24</v>
      </c>
      <c r="C136" s="1" t="s">
        <v>40</v>
      </c>
      <c r="D136" s="1" t="s">
        <v>229</v>
      </c>
      <c r="E136" s="1" t="s">
        <v>18</v>
      </c>
      <c r="F136" s="1" t="s">
        <v>19</v>
      </c>
      <c r="G136" s="1" t="s">
        <v>227</v>
      </c>
      <c r="H136" s="1" t="s">
        <v>222</v>
      </c>
      <c r="I136" s="1" t="s">
        <v>21</v>
      </c>
      <c r="J136" s="3">
        <v>-1891</v>
      </c>
      <c r="K136" s="1" t="s">
        <v>27</v>
      </c>
      <c r="L136" s="1" t="s">
        <v>21</v>
      </c>
      <c r="M136" s="1" t="s">
        <v>21</v>
      </c>
      <c r="N136" s="1" t="s">
        <v>40</v>
      </c>
      <c r="O136" s="2">
        <v>43100</v>
      </c>
      <c r="P136" s="2">
        <v>43131</v>
      </c>
      <c r="Q136" s="1" t="s">
        <v>22</v>
      </c>
    </row>
    <row r="137" spans="1:17" x14ac:dyDescent="0.25">
      <c r="A137" s="1" t="s">
        <v>39</v>
      </c>
      <c r="B137" s="1" t="s">
        <v>24</v>
      </c>
      <c r="C137" s="1" t="s">
        <v>40</v>
      </c>
      <c r="D137" s="1" t="s">
        <v>230</v>
      </c>
      <c r="E137" s="1" t="s">
        <v>18</v>
      </c>
      <c r="F137" s="1" t="s">
        <v>19</v>
      </c>
      <c r="G137" s="1" t="s">
        <v>227</v>
      </c>
      <c r="H137" s="1" t="s">
        <v>224</v>
      </c>
      <c r="I137" s="1" t="s">
        <v>21</v>
      </c>
      <c r="J137" s="3">
        <v>-57165</v>
      </c>
      <c r="K137" s="1" t="s">
        <v>42</v>
      </c>
      <c r="L137" s="1" t="s">
        <v>21</v>
      </c>
      <c r="M137" s="1" t="s">
        <v>21</v>
      </c>
      <c r="N137" s="1" t="s">
        <v>40</v>
      </c>
      <c r="O137" s="2">
        <v>43100</v>
      </c>
      <c r="P137" s="2">
        <v>43131</v>
      </c>
      <c r="Q137" s="1" t="s">
        <v>22</v>
      </c>
    </row>
    <row r="138" spans="1:17" x14ac:dyDescent="0.25">
      <c r="A138" s="1" t="s">
        <v>39</v>
      </c>
      <c r="B138" s="1" t="s">
        <v>24</v>
      </c>
      <c r="C138" s="1" t="s">
        <v>40</v>
      </c>
      <c r="D138" s="1" t="s">
        <v>257</v>
      </c>
      <c r="E138" s="1" t="s">
        <v>241</v>
      </c>
      <c r="F138" s="1" t="s">
        <v>19</v>
      </c>
      <c r="G138" s="1" t="s">
        <v>227</v>
      </c>
      <c r="H138" s="1" t="s">
        <v>222</v>
      </c>
      <c r="I138" s="1" t="s">
        <v>21</v>
      </c>
      <c r="J138" s="3">
        <v>-701524</v>
      </c>
      <c r="K138" s="1" t="s">
        <v>104</v>
      </c>
      <c r="L138" s="1" t="s">
        <v>21</v>
      </c>
      <c r="M138" s="1" t="s">
        <v>21</v>
      </c>
      <c r="N138" s="1" t="s">
        <v>40</v>
      </c>
      <c r="O138" s="2">
        <v>43100</v>
      </c>
      <c r="P138" s="2">
        <v>43131</v>
      </c>
      <c r="Q138" s="1" t="s">
        <v>22</v>
      </c>
    </row>
    <row r="139" spans="1:17" x14ac:dyDescent="0.25">
      <c r="A139" s="1" t="s">
        <v>39</v>
      </c>
      <c r="B139" s="1" t="s">
        <v>24</v>
      </c>
      <c r="C139" s="1" t="s">
        <v>40</v>
      </c>
      <c r="D139" s="1" t="s">
        <v>229</v>
      </c>
      <c r="E139" s="1" t="s">
        <v>18</v>
      </c>
      <c r="F139" s="1" t="s">
        <v>19</v>
      </c>
      <c r="G139" s="1" t="s">
        <v>227</v>
      </c>
      <c r="H139" s="1" t="s">
        <v>222</v>
      </c>
      <c r="I139" s="1" t="s">
        <v>21</v>
      </c>
      <c r="J139" s="3">
        <v>79</v>
      </c>
      <c r="K139" s="1" t="s">
        <v>102</v>
      </c>
      <c r="L139" s="1" t="s">
        <v>21</v>
      </c>
      <c r="M139" s="1" t="s">
        <v>21</v>
      </c>
      <c r="N139" s="1" t="s">
        <v>40</v>
      </c>
      <c r="O139" s="2">
        <v>43100</v>
      </c>
      <c r="P139" s="2">
        <v>43131</v>
      </c>
      <c r="Q139" s="1" t="s">
        <v>22</v>
      </c>
    </row>
    <row r="140" spans="1:17" x14ac:dyDescent="0.25">
      <c r="A140" s="1" t="s">
        <v>39</v>
      </c>
      <c r="B140" s="1" t="s">
        <v>24</v>
      </c>
      <c r="C140" s="1" t="s">
        <v>40</v>
      </c>
      <c r="D140" s="1" t="s">
        <v>252</v>
      </c>
      <c r="E140" s="1" t="s">
        <v>253</v>
      </c>
      <c r="F140" s="1" t="s">
        <v>19</v>
      </c>
      <c r="G140" s="1" t="s">
        <v>227</v>
      </c>
      <c r="H140" s="1" t="s">
        <v>222</v>
      </c>
      <c r="I140" s="1" t="s">
        <v>21</v>
      </c>
      <c r="J140" s="3">
        <v>1</v>
      </c>
      <c r="K140" s="1" t="s">
        <v>280</v>
      </c>
      <c r="L140" s="1" t="s">
        <v>21</v>
      </c>
      <c r="M140" s="1" t="s">
        <v>21</v>
      </c>
      <c r="N140" s="1" t="s">
        <v>40</v>
      </c>
      <c r="O140" s="2">
        <v>43100</v>
      </c>
      <c r="P140" s="2">
        <v>43131</v>
      </c>
      <c r="Q140" s="1" t="s">
        <v>22</v>
      </c>
    </row>
    <row r="141" spans="1:17" x14ac:dyDescent="0.25">
      <c r="A141" s="1" t="s">
        <v>39</v>
      </c>
      <c r="B141" s="1" t="s">
        <v>24</v>
      </c>
      <c r="C141" s="1" t="s">
        <v>40</v>
      </c>
      <c r="D141" s="1" t="s">
        <v>263</v>
      </c>
      <c r="E141" s="1" t="s">
        <v>241</v>
      </c>
      <c r="F141" s="1" t="s">
        <v>19</v>
      </c>
      <c r="G141" s="1" t="s">
        <v>227</v>
      </c>
      <c r="H141" s="1" t="s">
        <v>224</v>
      </c>
      <c r="I141" s="1" t="s">
        <v>21</v>
      </c>
      <c r="J141" s="3">
        <v>-237474</v>
      </c>
      <c r="K141" s="1" t="s">
        <v>42</v>
      </c>
      <c r="L141" s="1" t="s">
        <v>21</v>
      </c>
      <c r="M141" s="1" t="s">
        <v>21</v>
      </c>
      <c r="N141" s="1" t="s">
        <v>40</v>
      </c>
      <c r="O141" s="2">
        <v>43100</v>
      </c>
      <c r="P141" s="2">
        <v>43131</v>
      </c>
      <c r="Q141" s="1" t="s">
        <v>22</v>
      </c>
    </row>
    <row r="142" spans="1:17" x14ac:dyDescent="0.25">
      <c r="A142" s="1" t="s">
        <v>39</v>
      </c>
      <c r="B142" s="1" t="s">
        <v>24</v>
      </c>
      <c r="C142" s="1" t="s">
        <v>40</v>
      </c>
      <c r="D142" s="1" t="s">
        <v>265</v>
      </c>
      <c r="E142" s="1" t="s">
        <v>253</v>
      </c>
      <c r="F142" s="1" t="s">
        <v>19</v>
      </c>
      <c r="G142" s="1" t="s">
        <v>227</v>
      </c>
      <c r="H142" s="1" t="s">
        <v>224</v>
      </c>
      <c r="I142" s="1" t="s">
        <v>21</v>
      </c>
      <c r="J142" s="3">
        <v>-158593</v>
      </c>
      <c r="K142" s="1" t="s">
        <v>42</v>
      </c>
      <c r="L142" s="1" t="s">
        <v>21</v>
      </c>
      <c r="M142" s="1" t="s">
        <v>21</v>
      </c>
      <c r="N142" s="1" t="s">
        <v>40</v>
      </c>
      <c r="O142" s="2">
        <v>43100</v>
      </c>
      <c r="P142" s="2">
        <v>43131</v>
      </c>
      <c r="Q142" s="1" t="s">
        <v>22</v>
      </c>
    </row>
    <row r="143" spans="1:17" x14ac:dyDescent="0.25">
      <c r="A143" s="1" t="s">
        <v>39</v>
      </c>
      <c r="B143" s="1" t="s">
        <v>24</v>
      </c>
      <c r="C143" s="1" t="s">
        <v>40</v>
      </c>
      <c r="D143" s="1" t="s">
        <v>255</v>
      </c>
      <c r="E143" s="1" t="s">
        <v>256</v>
      </c>
      <c r="F143" s="1" t="s">
        <v>19</v>
      </c>
      <c r="G143" s="1" t="s">
        <v>227</v>
      </c>
      <c r="H143" s="1" t="s">
        <v>222</v>
      </c>
      <c r="I143" s="1" t="s">
        <v>21</v>
      </c>
      <c r="J143" s="3">
        <v>-334962</v>
      </c>
      <c r="K143" s="1" t="s">
        <v>27</v>
      </c>
      <c r="L143" s="1" t="s">
        <v>21</v>
      </c>
      <c r="M143" s="1" t="s">
        <v>21</v>
      </c>
      <c r="N143" s="1" t="s">
        <v>40</v>
      </c>
      <c r="O143" s="2">
        <v>43100</v>
      </c>
      <c r="P143" s="2">
        <v>43131</v>
      </c>
      <c r="Q143" s="1" t="s">
        <v>22</v>
      </c>
    </row>
    <row r="144" spans="1:17" x14ac:dyDescent="0.25">
      <c r="A144" s="1" t="s">
        <v>39</v>
      </c>
      <c r="B144" s="1" t="s">
        <v>24</v>
      </c>
      <c r="C144" s="1" t="s">
        <v>40</v>
      </c>
      <c r="D144" s="1" t="s">
        <v>263</v>
      </c>
      <c r="E144" s="1" t="s">
        <v>241</v>
      </c>
      <c r="F144" s="1" t="s">
        <v>19</v>
      </c>
      <c r="G144" s="1" t="s">
        <v>227</v>
      </c>
      <c r="H144" s="1" t="s">
        <v>224</v>
      </c>
      <c r="I144" s="1" t="s">
        <v>21</v>
      </c>
      <c r="J144" s="3">
        <v>105339</v>
      </c>
      <c r="K144" s="1" t="s">
        <v>43</v>
      </c>
      <c r="L144" s="1" t="s">
        <v>21</v>
      </c>
      <c r="M144" s="1" t="s">
        <v>21</v>
      </c>
      <c r="N144" s="1" t="s">
        <v>40</v>
      </c>
      <c r="O144" s="2">
        <v>43100</v>
      </c>
      <c r="P144" s="2">
        <v>43131</v>
      </c>
      <c r="Q144" s="1" t="s">
        <v>22</v>
      </c>
    </row>
    <row r="145" spans="1:17" x14ac:dyDescent="0.25">
      <c r="A145" s="1" t="s">
        <v>39</v>
      </c>
      <c r="B145" s="1" t="s">
        <v>24</v>
      </c>
      <c r="C145" s="1" t="s">
        <v>40</v>
      </c>
      <c r="D145" s="1" t="s">
        <v>260</v>
      </c>
      <c r="E145" s="1" t="s">
        <v>261</v>
      </c>
      <c r="F145" s="1" t="s">
        <v>19</v>
      </c>
      <c r="G145" s="1" t="s">
        <v>227</v>
      </c>
      <c r="H145" s="1" t="s">
        <v>222</v>
      </c>
      <c r="I145" s="1" t="s">
        <v>21</v>
      </c>
      <c r="J145" s="3">
        <v>-48</v>
      </c>
      <c r="K145" s="1" t="s">
        <v>104</v>
      </c>
      <c r="L145" s="1" t="s">
        <v>21</v>
      </c>
      <c r="M145" s="1" t="s">
        <v>21</v>
      </c>
      <c r="N145" s="1" t="s">
        <v>40</v>
      </c>
      <c r="O145" s="2">
        <v>43100</v>
      </c>
      <c r="P145" s="2">
        <v>43131</v>
      </c>
      <c r="Q145" s="1" t="s">
        <v>22</v>
      </c>
    </row>
    <row r="146" spans="1:17" x14ac:dyDescent="0.25">
      <c r="A146" s="1" t="s">
        <v>39</v>
      </c>
      <c r="B146" s="1" t="s">
        <v>24</v>
      </c>
      <c r="C146" s="1" t="s">
        <v>40</v>
      </c>
      <c r="D146" s="1" t="s">
        <v>252</v>
      </c>
      <c r="E146" s="1" t="s">
        <v>253</v>
      </c>
      <c r="F146" s="1" t="s">
        <v>19</v>
      </c>
      <c r="G146" s="1" t="s">
        <v>227</v>
      </c>
      <c r="H146" s="1" t="s">
        <v>222</v>
      </c>
      <c r="I146" s="1" t="s">
        <v>21</v>
      </c>
      <c r="J146" s="3">
        <v>6228</v>
      </c>
      <c r="K146" s="1" t="s">
        <v>27</v>
      </c>
      <c r="L146" s="1" t="s">
        <v>21</v>
      </c>
      <c r="M146" s="1" t="s">
        <v>21</v>
      </c>
      <c r="N146" s="1" t="s">
        <v>40</v>
      </c>
      <c r="O146" s="2">
        <v>43100</v>
      </c>
      <c r="P146" s="2">
        <v>43131</v>
      </c>
      <c r="Q146" s="1" t="s">
        <v>22</v>
      </c>
    </row>
    <row r="147" spans="1:17" x14ac:dyDescent="0.25">
      <c r="A147" s="1" t="s">
        <v>39</v>
      </c>
      <c r="B147" s="1" t="s">
        <v>24</v>
      </c>
      <c r="C147" s="1" t="s">
        <v>40</v>
      </c>
      <c r="D147" s="1" t="s">
        <v>268</v>
      </c>
      <c r="E147" s="1" t="s">
        <v>56</v>
      </c>
      <c r="F147" s="1" t="s">
        <v>19</v>
      </c>
      <c r="G147" s="1" t="s">
        <v>227</v>
      </c>
      <c r="H147" s="1" t="s">
        <v>224</v>
      </c>
      <c r="I147" s="1" t="s">
        <v>21</v>
      </c>
      <c r="J147" s="3">
        <v>-107806</v>
      </c>
      <c r="K147" s="1" t="s">
        <v>42</v>
      </c>
      <c r="L147" s="1" t="s">
        <v>21</v>
      </c>
      <c r="M147" s="1" t="s">
        <v>21</v>
      </c>
      <c r="N147" s="1" t="s">
        <v>40</v>
      </c>
      <c r="O147" s="2">
        <v>43100</v>
      </c>
      <c r="P147" s="2">
        <v>43131</v>
      </c>
      <c r="Q147" s="1" t="s">
        <v>22</v>
      </c>
    </row>
    <row r="148" spans="1:17" x14ac:dyDescent="0.25">
      <c r="A148" s="1" t="s">
        <v>39</v>
      </c>
      <c r="B148" s="1" t="s">
        <v>24</v>
      </c>
      <c r="C148" s="1" t="s">
        <v>40</v>
      </c>
      <c r="D148" s="1" t="s">
        <v>274</v>
      </c>
      <c r="E148" s="1" t="s">
        <v>267</v>
      </c>
      <c r="F148" s="1" t="s">
        <v>19</v>
      </c>
      <c r="G148" s="1" t="s">
        <v>227</v>
      </c>
      <c r="H148" s="1" t="s">
        <v>224</v>
      </c>
      <c r="I148" s="1" t="s">
        <v>21</v>
      </c>
      <c r="J148" s="3">
        <v>-9299</v>
      </c>
      <c r="K148" s="1" t="s">
        <v>43</v>
      </c>
      <c r="L148" s="1" t="s">
        <v>21</v>
      </c>
      <c r="M148" s="1" t="s">
        <v>21</v>
      </c>
      <c r="N148" s="1" t="s">
        <v>40</v>
      </c>
      <c r="O148" s="2">
        <v>43100</v>
      </c>
      <c r="P148" s="2">
        <v>43131</v>
      </c>
      <c r="Q148" s="1" t="s">
        <v>22</v>
      </c>
    </row>
    <row r="149" spans="1:17" x14ac:dyDescent="0.25">
      <c r="A149" s="1" t="s">
        <v>39</v>
      </c>
      <c r="B149" s="1" t="s">
        <v>24</v>
      </c>
      <c r="C149" s="1" t="s">
        <v>40</v>
      </c>
      <c r="D149" s="1" t="s">
        <v>269</v>
      </c>
      <c r="E149" s="1" t="s">
        <v>259</v>
      </c>
      <c r="F149" s="1" t="s">
        <v>19</v>
      </c>
      <c r="G149" s="1" t="s">
        <v>227</v>
      </c>
      <c r="H149" s="1" t="s">
        <v>224</v>
      </c>
      <c r="I149" s="1" t="s">
        <v>21</v>
      </c>
      <c r="J149" s="3">
        <v>-612300</v>
      </c>
      <c r="K149" s="1" t="s">
        <v>42</v>
      </c>
      <c r="L149" s="1" t="s">
        <v>21</v>
      </c>
      <c r="M149" s="1" t="s">
        <v>21</v>
      </c>
      <c r="N149" s="1" t="s">
        <v>40</v>
      </c>
      <c r="O149" s="2">
        <v>43100</v>
      </c>
      <c r="P149" s="2">
        <v>43131</v>
      </c>
      <c r="Q149" s="1" t="s">
        <v>22</v>
      </c>
    </row>
    <row r="150" spans="1:17" x14ac:dyDescent="0.25">
      <c r="A150" s="1" t="s">
        <v>39</v>
      </c>
      <c r="B150" s="1" t="s">
        <v>24</v>
      </c>
      <c r="C150" s="1" t="s">
        <v>40</v>
      </c>
      <c r="D150" s="1" t="s">
        <v>258</v>
      </c>
      <c r="E150" s="1" t="s">
        <v>259</v>
      </c>
      <c r="F150" s="1" t="s">
        <v>19</v>
      </c>
      <c r="G150" s="1" t="s">
        <v>227</v>
      </c>
      <c r="H150" s="1" t="s">
        <v>222</v>
      </c>
      <c r="I150" s="1" t="s">
        <v>21</v>
      </c>
      <c r="J150" s="3">
        <v>-125786</v>
      </c>
      <c r="K150" s="1" t="s">
        <v>104</v>
      </c>
      <c r="L150" s="1" t="s">
        <v>21</v>
      </c>
      <c r="M150" s="1" t="s">
        <v>21</v>
      </c>
      <c r="N150" s="1" t="s">
        <v>40</v>
      </c>
      <c r="O150" s="2">
        <v>43100</v>
      </c>
      <c r="P150" s="2">
        <v>43131</v>
      </c>
      <c r="Q150" s="1" t="s">
        <v>22</v>
      </c>
    </row>
    <row r="151" spans="1:17" x14ac:dyDescent="0.25">
      <c r="A151" s="1" t="s">
        <v>39</v>
      </c>
      <c r="B151" s="1" t="s">
        <v>24</v>
      </c>
      <c r="C151" s="1" t="s">
        <v>40</v>
      </c>
      <c r="D151" s="1" t="s">
        <v>226</v>
      </c>
      <c r="E151" s="1" t="s">
        <v>30</v>
      </c>
      <c r="F151" s="1" t="s">
        <v>19</v>
      </c>
      <c r="G151" s="1" t="s">
        <v>227</v>
      </c>
      <c r="H151" s="1" t="s">
        <v>224</v>
      </c>
      <c r="I151" s="1" t="s">
        <v>21</v>
      </c>
      <c r="J151" s="3">
        <v>-127945</v>
      </c>
      <c r="K151" s="1" t="s">
        <v>42</v>
      </c>
      <c r="L151" s="1" t="s">
        <v>21</v>
      </c>
      <c r="M151" s="1" t="s">
        <v>21</v>
      </c>
      <c r="N151" s="1" t="s">
        <v>40</v>
      </c>
      <c r="O151" s="2">
        <v>43100</v>
      </c>
      <c r="P151" s="2">
        <v>43131</v>
      </c>
      <c r="Q151" s="1" t="s">
        <v>22</v>
      </c>
    </row>
    <row r="152" spans="1:17" x14ac:dyDescent="0.25">
      <c r="A152" s="1" t="s">
        <v>39</v>
      </c>
      <c r="B152" s="1" t="s">
        <v>24</v>
      </c>
      <c r="C152" s="1" t="s">
        <v>40</v>
      </c>
      <c r="D152" s="1" t="s">
        <v>265</v>
      </c>
      <c r="E152" s="1" t="s">
        <v>253</v>
      </c>
      <c r="F152" s="1" t="s">
        <v>19</v>
      </c>
      <c r="G152" s="1" t="s">
        <v>227</v>
      </c>
      <c r="H152" s="1" t="s">
        <v>224</v>
      </c>
      <c r="I152" s="1" t="s">
        <v>21</v>
      </c>
      <c r="J152" s="3">
        <v>-11486</v>
      </c>
      <c r="K152" s="1" t="s">
        <v>43</v>
      </c>
      <c r="L152" s="1" t="s">
        <v>21</v>
      </c>
      <c r="M152" s="1" t="s">
        <v>21</v>
      </c>
      <c r="N152" s="1" t="s">
        <v>40</v>
      </c>
      <c r="O152" s="2">
        <v>43100</v>
      </c>
      <c r="P152" s="2">
        <v>43131</v>
      </c>
      <c r="Q152" s="1" t="s">
        <v>22</v>
      </c>
    </row>
    <row r="153" spans="1:17" x14ac:dyDescent="0.25">
      <c r="A153" s="1" t="s">
        <v>39</v>
      </c>
      <c r="B153" s="1" t="s">
        <v>24</v>
      </c>
      <c r="C153" s="1" t="s">
        <v>40</v>
      </c>
      <c r="D153" s="1" t="s">
        <v>262</v>
      </c>
      <c r="E153" s="1" t="s">
        <v>240</v>
      </c>
      <c r="F153" s="1" t="s">
        <v>19</v>
      </c>
      <c r="G153" s="1" t="s">
        <v>227</v>
      </c>
      <c r="H153" s="1" t="s">
        <v>222</v>
      </c>
      <c r="I153" s="1" t="s">
        <v>21</v>
      </c>
      <c r="J153" s="3">
        <v>19040</v>
      </c>
      <c r="K153" s="1" t="s">
        <v>104</v>
      </c>
      <c r="L153" s="1" t="s">
        <v>21</v>
      </c>
      <c r="M153" s="1" t="s">
        <v>21</v>
      </c>
      <c r="N153" s="1" t="s">
        <v>40</v>
      </c>
      <c r="O153" s="2">
        <v>43100</v>
      </c>
      <c r="P153" s="2">
        <v>43131</v>
      </c>
      <c r="Q153" s="1" t="s">
        <v>22</v>
      </c>
    </row>
    <row r="154" spans="1:17" x14ac:dyDescent="0.25">
      <c r="A154" s="1" t="s">
        <v>39</v>
      </c>
      <c r="B154" s="1" t="s">
        <v>24</v>
      </c>
      <c r="C154" s="1" t="s">
        <v>40</v>
      </c>
      <c r="D154" s="1" t="s">
        <v>274</v>
      </c>
      <c r="E154" s="1" t="s">
        <v>267</v>
      </c>
      <c r="F154" s="1" t="s">
        <v>19</v>
      </c>
      <c r="G154" s="1" t="s">
        <v>227</v>
      </c>
      <c r="H154" s="1" t="s">
        <v>224</v>
      </c>
      <c r="I154" s="1" t="s">
        <v>21</v>
      </c>
      <c r="J154" s="3">
        <v>-793</v>
      </c>
      <c r="K154" s="1" t="s">
        <v>42</v>
      </c>
      <c r="L154" s="1" t="s">
        <v>21</v>
      </c>
      <c r="M154" s="1" t="s">
        <v>21</v>
      </c>
      <c r="N154" s="1" t="s">
        <v>40</v>
      </c>
      <c r="O154" s="2">
        <v>43100</v>
      </c>
      <c r="P154" s="2">
        <v>43131</v>
      </c>
      <c r="Q154" s="1" t="s">
        <v>22</v>
      </c>
    </row>
    <row r="155" spans="1:17" x14ac:dyDescent="0.25">
      <c r="A155" s="1" t="s">
        <v>39</v>
      </c>
      <c r="B155" s="1" t="s">
        <v>24</v>
      </c>
      <c r="C155" s="1" t="s">
        <v>40</v>
      </c>
      <c r="D155" s="1" t="s">
        <v>260</v>
      </c>
      <c r="E155" s="1" t="s">
        <v>261</v>
      </c>
      <c r="F155" s="1" t="s">
        <v>19</v>
      </c>
      <c r="G155" s="1" t="s">
        <v>227</v>
      </c>
      <c r="H155" s="1" t="s">
        <v>222</v>
      </c>
      <c r="I155" s="1" t="s">
        <v>21</v>
      </c>
      <c r="J155" s="3">
        <v>-31602</v>
      </c>
      <c r="K155" s="1" t="s">
        <v>102</v>
      </c>
      <c r="L155" s="1" t="s">
        <v>21</v>
      </c>
      <c r="M155" s="1" t="s">
        <v>21</v>
      </c>
      <c r="N155" s="1" t="s">
        <v>40</v>
      </c>
      <c r="O155" s="2">
        <v>43100</v>
      </c>
      <c r="P155" s="2">
        <v>43131</v>
      </c>
      <c r="Q155" s="1" t="s">
        <v>22</v>
      </c>
    </row>
    <row r="156" spans="1:17" x14ac:dyDescent="0.25">
      <c r="A156" s="1" t="s">
        <v>39</v>
      </c>
      <c r="B156" s="1" t="s">
        <v>24</v>
      </c>
      <c r="C156" s="1" t="s">
        <v>40</v>
      </c>
      <c r="D156" s="1" t="s">
        <v>229</v>
      </c>
      <c r="E156" s="1" t="s">
        <v>18</v>
      </c>
      <c r="F156" s="1" t="s">
        <v>19</v>
      </c>
      <c r="G156" s="1" t="s">
        <v>227</v>
      </c>
      <c r="H156" s="1" t="s">
        <v>222</v>
      </c>
      <c r="I156" s="1" t="s">
        <v>21</v>
      </c>
      <c r="J156" s="3">
        <v>-49891</v>
      </c>
      <c r="K156" s="1" t="s">
        <v>104</v>
      </c>
      <c r="L156" s="1" t="s">
        <v>21</v>
      </c>
      <c r="M156" s="1" t="s">
        <v>21</v>
      </c>
      <c r="N156" s="1" t="s">
        <v>40</v>
      </c>
      <c r="O156" s="2">
        <v>43100</v>
      </c>
      <c r="P156" s="2">
        <v>43131</v>
      </c>
      <c r="Q156" s="1" t="s">
        <v>22</v>
      </c>
    </row>
    <row r="157" spans="1:17" x14ac:dyDescent="0.25">
      <c r="A157" s="1" t="s">
        <v>39</v>
      </c>
      <c r="B157" s="1" t="s">
        <v>24</v>
      </c>
      <c r="C157" s="1" t="s">
        <v>40</v>
      </c>
      <c r="D157" s="1" t="s">
        <v>254</v>
      </c>
      <c r="E157" s="1" t="s">
        <v>56</v>
      </c>
      <c r="F157" s="1" t="s">
        <v>19</v>
      </c>
      <c r="G157" s="1" t="s">
        <v>227</v>
      </c>
      <c r="H157" s="1" t="s">
        <v>222</v>
      </c>
      <c r="I157" s="1" t="s">
        <v>21</v>
      </c>
      <c r="J157" s="3">
        <v>-9149</v>
      </c>
      <c r="K157" s="1" t="s">
        <v>27</v>
      </c>
      <c r="L157" s="1" t="s">
        <v>21</v>
      </c>
      <c r="M157" s="1" t="s">
        <v>21</v>
      </c>
      <c r="N157" s="1" t="s">
        <v>40</v>
      </c>
      <c r="O157" s="2">
        <v>43100</v>
      </c>
      <c r="P157" s="2">
        <v>43131</v>
      </c>
      <c r="Q157" s="1" t="s">
        <v>22</v>
      </c>
    </row>
    <row r="158" spans="1:17" x14ac:dyDescent="0.25">
      <c r="A158" s="1" t="s">
        <v>39</v>
      </c>
      <c r="B158" s="1" t="s">
        <v>24</v>
      </c>
      <c r="C158" s="1" t="s">
        <v>40</v>
      </c>
      <c r="D158" s="1" t="s">
        <v>271</v>
      </c>
      <c r="E158" s="1" t="s">
        <v>256</v>
      </c>
      <c r="F158" s="1" t="s">
        <v>19</v>
      </c>
      <c r="G158" s="1" t="s">
        <v>227</v>
      </c>
      <c r="H158" s="1" t="s">
        <v>224</v>
      </c>
      <c r="I158" s="1" t="s">
        <v>21</v>
      </c>
      <c r="J158" s="3">
        <v>-96438</v>
      </c>
      <c r="K158" s="1" t="s">
        <v>43</v>
      </c>
      <c r="L158" s="1" t="s">
        <v>21</v>
      </c>
      <c r="M158" s="1" t="s">
        <v>21</v>
      </c>
      <c r="N158" s="1" t="s">
        <v>40</v>
      </c>
      <c r="O158" s="2">
        <v>43100</v>
      </c>
      <c r="P158" s="2">
        <v>43131</v>
      </c>
      <c r="Q158" s="1" t="s">
        <v>22</v>
      </c>
    </row>
    <row r="159" spans="1:17" x14ac:dyDescent="0.25">
      <c r="A159" s="1" t="s">
        <v>39</v>
      </c>
      <c r="B159" s="1" t="s">
        <v>24</v>
      </c>
      <c r="C159" s="1" t="s">
        <v>40</v>
      </c>
      <c r="D159" s="1" t="s">
        <v>255</v>
      </c>
      <c r="E159" s="1" t="s">
        <v>256</v>
      </c>
      <c r="F159" s="1" t="s">
        <v>19</v>
      </c>
      <c r="G159" s="1" t="s">
        <v>227</v>
      </c>
      <c r="H159" s="1" t="s">
        <v>222</v>
      </c>
      <c r="I159" s="1" t="s">
        <v>21</v>
      </c>
      <c r="J159" s="3">
        <v>-132222</v>
      </c>
      <c r="K159" s="1" t="s">
        <v>104</v>
      </c>
      <c r="L159" s="1" t="s">
        <v>21</v>
      </c>
      <c r="M159" s="1" t="s">
        <v>21</v>
      </c>
      <c r="N159" s="1" t="s">
        <v>40</v>
      </c>
      <c r="O159" s="2">
        <v>43100</v>
      </c>
      <c r="P159" s="2">
        <v>43131</v>
      </c>
      <c r="Q159" s="1" t="s">
        <v>22</v>
      </c>
    </row>
    <row r="160" spans="1:17" x14ac:dyDescent="0.25">
      <c r="A160" s="1" t="s">
        <v>39</v>
      </c>
      <c r="B160" s="1" t="s">
        <v>24</v>
      </c>
      <c r="C160" s="1" t="s">
        <v>40</v>
      </c>
      <c r="D160" s="1" t="s">
        <v>266</v>
      </c>
      <c r="E160" s="1" t="s">
        <v>267</v>
      </c>
      <c r="F160" s="1" t="s">
        <v>19</v>
      </c>
      <c r="G160" s="1" t="s">
        <v>227</v>
      </c>
      <c r="H160" s="1" t="s">
        <v>222</v>
      </c>
      <c r="I160" s="1" t="s">
        <v>21</v>
      </c>
      <c r="J160" s="3">
        <v>-1075</v>
      </c>
      <c r="K160" s="1" t="s">
        <v>104</v>
      </c>
      <c r="L160" s="1" t="s">
        <v>21</v>
      </c>
      <c r="M160" s="1" t="s">
        <v>21</v>
      </c>
      <c r="N160" s="1" t="s">
        <v>40</v>
      </c>
      <c r="O160" s="2">
        <v>43100</v>
      </c>
      <c r="P160" s="2">
        <v>43131</v>
      </c>
      <c r="Q160" s="1" t="s">
        <v>22</v>
      </c>
    </row>
    <row r="161" spans="1:17" x14ac:dyDescent="0.25">
      <c r="A161" s="1" t="s">
        <v>39</v>
      </c>
      <c r="B161" s="1" t="s">
        <v>24</v>
      </c>
      <c r="C161" s="1" t="s">
        <v>40</v>
      </c>
      <c r="D161" s="1" t="s">
        <v>258</v>
      </c>
      <c r="E161" s="1" t="s">
        <v>259</v>
      </c>
      <c r="F161" s="1" t="s">
        <v>19</v>
      </c>
      <c r="G161" s="1" t="s">
        <v>227</v>
      </c>
      <c r="H161" s="1" t="s">
        <v>222</v>
      </c>
      <c r="I161" s="1" t="s">
        <v>21</v>
      </c>
      <c r="J161" s="3">
        <v>-50437</v>
      </c>
      <c r="K161" s="1" t="s">
        <v>102</v>
      </c>
      <c r="L161" s="1" t="s">
        <v>21</v>
      </c>
      <c r="M161" s="1" t="s">
        <v>21</v>
      </c>
      <c r="N161" s="1" t="s">
        <v>40</v>
      </c>
      <c r="O161" s="2">
        <v>43100</v>
      </c>
      <c r="P161" s="2">
        <v>43131</v>
      </c>
      <c r="Q161" s="1" t="s">
        <v>22</v>
      </c>
    </row>
    <row r="162" spans="1:17" x14ac:dyDescent="0.25">
      <c r="A162" s="1" t="s">
        <v>39</v>
      </c>
      <c r="B162" s="1" t="s">
        <v>24</v>
      </c>
      <c r="C162" s="1" t="s">
        <v>40</v>
      </c>
      <c r="D162" s="1" t="s">
        <v>275</v>
      </c>
      <c r="E162" s="1" t="s">
        <v>261</v>
      </c>
      <c r="F162" s="1" t="s">
        <v>19</v>
      </c>
      <c r="G162" s="1" t="s">
        <v>227</v>
      </c>
      <c r="H162" s="1" t="s">
        <v>224</v>
      </c>
      <c r="I162" s="1" t="s">
        <v>21</v>
      </c>
      <c r="J162" s="3">
        <v>-3195</v>
      </c>
      <c r="K162" s="1" t="s">
        <v>42</v>
      </c>
      <c r="L162" s="1" t="s">
        <v>21</v>
      </c>
      <c r="M162" s="1" t="s">
        <v>21</v>
      </c>
      <c r="N162" s="1" t="s">
        <v>40</v>
      </c>
      <c r="O162" s="2">
        <v>43100</v>
      </c>
      <c r="P162" s="2">
        <v>43131</v>
      </c>
      <c r="Q162" s="1" t="s">
        <v>22</v>
      </c>
    </row>
    <row r="163" spans="1:17" x14ac:dyDescent="0.25">
      <c r="A163" s="1" t="s">
        <v>39</v>
      </c>
      <c r="B163" s="1" t="s">
        <v>24</v>
      </c>
      <c r="C163" s="1" t="s">
        <v>40</v>
      </c>
      <c r="D163" s="1" t="s">
        <v>228</v>
      </c>
      <c r="E163" s="1" t="s">
        <v>30</v>
      </c>
      <c r="F163" s="1" t="s">
        <v>19</v>
      </c>
      <c r="G163" s="1" t="s">
        <v>227</v>
      </c>
      <c r="H163" s="1" t="s">
        <v>222</v>
      </c>
      <c r="I163" s="1" t="s">
        <v>21</v>
      </c>
      <c r="J163" s="3">
        <v>-4461</v>
      </c>
      <c r="K163" s="1" t="s">
        <v>27</v>
      </c>
      <c r="L163" s="1" t="s">
        <v>21</v>
      </c>
      <c r="M163" s="1" t="s">
        <v>21</v>
      </c>
      <c r="N163" s="1" t="s">
        <v>40</v>
      </c>
      <c r="O163" s="2">
        <v>43100</v>
      </c>
      <c r="P163" s="2">
        <v>43131</v>
      </c>
      <c r="Q163" s="1" t="s">
        <v>22</v>
      </c>
    </row>
    <row r="164" spans="1:17" x14ac:dyDescent="0.25">
      <c r="A164" s="1" t="s">
        <v>39</v>
      </c>
      <c r="B164" s="1" t="s">
        <v>24</v>
      </c>
      <c r="C164" s="1" t="s">
        <v>40</v>
      </c>
      <c r="D164" s="1" t="s">
        <v>230</v>
      </c>
      <c r="E164" s="1" t="s">
        <v>18</v>
      </c>
      <c r="F164" s="1" t="s">
        <v>19</v>
      </c>
      <c r="G164" s="1" t="s">
        <v>227</v>
      </c>
      <c r="H164" s="1" t="s">
        <v>224</v>
      </c>
      <c r="I164" s="1" t="s">
        <v>21</v>
      </c>
      <c r="J164" s="3">
        <v>-36648</v>
      </c>
      <c r="K164" s="1" t="s">
        <v>43</v>
      </c>
      <c r="L164" s="1" t="s">
        <v>21</v>
      </c>
      <c r="M164" s="1" t="s">
        <v>21</v>
      </c>
      <c r="N164" s="1" t="s">
        <v>40</v>
      </c>
      <c r="O164" s="2">
        <v>43100</v>
      </c>
      <c r="P164" s="2">
        <v>43131</v>
      </c>
      <c r="Q164" s="1" t="s">
        <v>22</v>
      </c>
    </row>
    <row r="165" spans="1:17" x14ac:dyDescent="0.25">
      <c r="A165" s="1" t="s">
        <v>39</v>
      </c>
      <c r="B165" s="1" t="s">
        <v>24</v>
      </c>
      <c r="C165" s="1" t="s">
        <v>40</v>
      </c>
      <c r="D165" s="1" t="s">
        <v>252</v>
      </c>
      <c r="E165" s="1" t="s">
        <v>253</v>
      </c>
      <c r="F165" s="1" t="s">
        <v>19</v>
      </c>
      <c r="G165" s="1" t="s">
        <v>227</v>
      </c>
      <c r="H165" s="1" t="s">
        <v>222</v>
      </c>
      <c r="I165" s="1" t="s">
        <v>21</v>
      </c>
      <c r="J165" s="3">
        <v>-66912</v>
      </c>
      <c r="K165" s="1" t="s">
        <v>104</v>
      </c>
      <c r="L165" s="1" t="s">
        <v>21</v>
      </c>
      <c r="M165" s="1" t="s">
        <v>21</v>
      </c>
      <c r="N165" s="1" t="s">
        <v>40</v>
      </c>
      <c r="O165" s="2">
        <v>43100</v>
      </c>
      <c r="P165" s="2">
        <v>43131</v>
      </c>
      <c r="Q165" s="1" t="s">
        <v>22</v>
      </c>
    </row>
    <row r="166" spans="1:17" x14ac:dyDescent="0.25">
      <c r="A166" s="1" t="s">
        <v>39</v>
      </c>
      <c r="B166" s="1" t="s">
        <v>24</v>
      </c>
      <c r="C166" s="1" t="s">
        <v>40</v>
      </c>
      <c r="D166" s="1" t="s">
        <v>268</v>
      </c>
      <c r="E166" s="1" t="s">
        <v>56</v>
      </c>
      <c r="F166" s="1" t="s">
        <v>19</v>
      </c>
      <c r="G166" s="1" t="s">
        <v>227</v>
      </c>
      <c r="H166" s="1" t="s">
        <v>224</v>
      </c>
      <c r="I166" s="1" t="s">
        <v>21</v>
      </c>
      <c r="J166" s="3">
        <v>18909</v>
      </c>
      <c r="K166" s="1" t="s">
        <v>43</v>
      </c>
      <c r="L166" s="1" t="s">
        <v>21</v>
      </c>
      <c r="M166" s="1" t="s">
        <v>21</v>
      </c>
      <c r="N166" s="1" t="s">
        <v>40</v>
      </c>
      <c r="O166" s="2">
        <v>43100</v>
      </c>
      <c r="P166" s="2">
        <v>43131</v>
      </c>
      <c r="Q166" s="1" t="s">
        <v>22</v>
      </c>
    </row>
    <row r="167" spans="1:17" x14ac:dyDescent="0.25">
      <c r="A167" s="1" t="s">
        <v>39</v>
      </c>
      <c r="B167" s="1" t="s">
        <v>24</v>
      </c>
      <c r="C167" s="1" t="s">
        <v>40</v>
      </c>
      <c r="D167" s="1" t="s">
        <v>273</v>
      </c>
      <c r="E167" s="1" t="s">
        <v>240</v>
      </c>
      <c r="F167" s="1" t="s">
        <v>19</v>
      </c>
      <c r="G167" s="1" t="s">
        <v>227</v>
      </c>
      <c r="H167" s="1" t="s">
        <v>224</v>
      </c>
      <c r="I167" s="1" t="s">
        <v>21</v>
      </c>
      <c r="J167" s="3">
        <v>-6012</v>
      </c>
      <c r="K167" s="1" t="s">
        <v>43</v>
      </c>
      <c r="L167" s="1" t="s">
        <v>21</v>
      </c>
      <c r="M167" s="1" t="s">
        <v>21</v>
      </c>
      <c r="N167" s="1" t="s">
        <v>40</v>
      </c>
      <c r="O167" s="2">
        <v>43100</v>
      </c>
      <c r="P167" s="2">
        <v>43131</v>
      </c>
      <c r="Q167" s="1" t="s">
        <v>22</v>
      </c>
    </row>
    <row r="168" spans="1:17" x14ac:dyDescent="0.25">
      <c r="A168" s="1" t="s">
        <v>39</v>
      </c>
      <c r="B168" s="1" t="s">
        <v>24</v>
      </c>
      <c r="C168" s="1" t="s">
        <v>40</v>
      </c>
      <c r="D168" s="1" t="s">
        <v>269</v>
      </c>
      <c r="E168" s="1" t="s">
        <v>259</v>
      </c>
      <c r="F168" s="1" t="s">
        <v>19</v>
      </c>
      <c r="G168" s="1" t="s">
        <v>227</v>
      </c>
      <c r="H168" s="1" t="s">
        <v>224</v>
      </c>
      <c r="I168" s="1" t="s">
        <v>21</v>
      </c>
      <c r="J168" s="3">
        <v>-12433</v>
      </c>
      <c r="K168" s="1" t="s">
        <v>43</v>
      </c>
      <c r="L168" s="1" t="s">
        <v>21</v>
      </c>
      <c r="M168" s="1" t="s">
        <v>21</v>
      </c>
      <c r="N168" s="1" t="s">
        <v>40</v>
      </c>
      <c r="O168" s="2">
        <v>43100</v>
      </c>
      <c r="P168" s="2">
        <v>43131</v>
      </c>
      <c r="Q168" s="1" t="s">
        <v>22</v>
      </c>
    </row>
    <row r="169" spans="1:17" x14ac:dyDescent="0.25">
      <c r="A169" s="1" t="s">
        <v>39</v>
      </c>
      <c r="B169" s="1" t="s">
        <v>24</v>
      </c>
      <c r="C169" s="1" t="s">
        <v>40</v>
      </c>
      <c r="D169" s="1" t="s">
        <v>226</v>
      </c>
      <c r="E169" s="1" t="s">
        <v>30</v>
      </c>
      <c r="F169" s="1" t="s">
        <v>19</v>
      </c>
      <c r="G169" s="1" t="s">
        <v>227</v>
      </c>
      <c r="H169" s="1" t="s">
        <v>224</v>
      </c>
      <c r="I169" s="1" t="s">
        <v>21</v>
      </c>
      <c r="J169" s="3">
        <v>-9845</v>
      </c>
      <c r="K169" s="1" t="s">
        <v>43</v>
      </c>
      <c r="L169" s="1" t="s">
        <v>21</v>
      </c>
      <c r="M169" s="1" t="s">
        <v>21</v>
      </c>
      <c r="N169" s="1" t="s">
        <v>40</v>
      </c>
      <c r="O169" s="2">
        <v>43100</v>
      </c>
      <c r="P169" s="2">
        <v>43131</v>
      </c>
      <c r="Q169" s="1" t="s">
        <v>22</v>
      </c>
    </row>
    <row r="170" spans="1:17" x14ac:dyDescent="0.25">
      <c r="A170" s="1" t="s">
        <v>39</v>
      </c>
      <c r="B170" s="1" t="s">
        <v>24</v>
      </c>
      <c r="C170" s="1" t="s">
        <v>40</v>
      </c>
      <c r="D170" s="1" t="s">
        <v>228</v>
      </c>
      <c r="E170" s="1" t="s">
        <v>30</v>
      </c>
      <c r="F170" s="1" t="s">
        <v>19</v>
      </c>
      <c r="G170" s="1" t="s">
        <v>227</v>
      </c>
      <c r="H170" s="1" t="s">
        <v>222</v>
      </c>
      <c r="I170" s="1" t="s">
        <v>21</v>
      </c>
      <c r="J170" s="3">
        <v>-48976</v>
      </c>
      <c r="K170" s="1" t="s">
        <v>104</v>
      </c>
      <c r="L170" s="1" t="s">
        <v>21</v>
      </c>
      <c r="M170" s="1" t="s">
        <v>21</v>
      </c>
      <c r="N170" s="1" t="s">
        <v>40</v>
      </c>
      <c r="O170" s="2">
        <v>43100</v>
      </c>
      <c r="P170" s="2">
        <v>43131</v>
      </c>
      <c r="Q170" s="1" t="s">
        <v>22</v>
      </c>
    </row>
    <row r="171" spans="1:17" x14ac:dyDescent="0.25">
      <c r="A171" s="1" t="s">
        <v>39</v>
      </c>
      <c r="B171" s="1" t="s">
        <v>24</v>
      </c>
      <c r="C171" s="1" t="s">
        <v>231</v>
      </c>
      <c r="D171" s="1" t="s">
        <v>262</v>
      </c>
      <c r="E171" s="1" t="s">
        <v>240</v>
      </c>
      <c r="F171" s="1" t="s">
        <v>19</v>
      </c>
      <c r="G171" s="1" t="s">
        <v>227</v>
      </c>
      <c r="H171" s="1" t="s">
        <v>222</v>
      </c>
      <c r="I171" s="1" t="s">
        <v>21</v>
      </c>
      <c r="J171" s="3">
        <v>111251</v>
      </c>
      <c r="K171" s="1" t="s">
        <v>142</v>
      </c>
      <c r="L171" s="1" t="s">
        <v>21</v>
      </c>
      <c r="M171" s="1" t="s">
        <v>21</v>
      </c>
      <c r="N171" s="1" t="s">
        <v>231</v>
      </c>
      <c r="O171" s="2">
        <v>43100</v>
      </c>
      <c r="P171" s="2">
        <v>43147</v>
      </c>
      <c r="Q171" s="1" t="s">
        <v>22</v>
      </c>
    </row>
    <row r="172" spans="1:17" x14ac:dyDescent="0.25">
      <c r="A172" s="1" t="s">
        <v>39</v>
      </c>
      <c r="B172" s="1" t="s">
        <v>24</v>
      </c>
      <c r="C172" s="1" t="s">
        <v>231</v>
      </c>
      <c r="D172" s="1" t="s">
        <v>266</v>
      </c>
      <c r="E172" s="1" t="s">
        <v>267</v>
      </c>
      <c r="F172" s="1" t="s">
        <v>19</v>
      </c>
      <c r="G172" s="1" t="s">
        <v>227</v>
      </c>
      <c r="H172" s="1" t="s">
        <v>222</v>
      </c>
      <c r="I172" s="1" t="s">
        <v>21</v>
      </c>
      <c r="J172" s="3">
        <v>47289</v>
      </c>
      <c r="K172" s="1" t="s">
        <v>142</v>
      </c>
      <c r="L172" s="1" t="s">
        <v>21</v>
      </c>
      <c r="M172" s="1" t="s">
        <v>21</v>
      </c>
      <c r="N172" s="1" t="s">
        <v>231</v>
      </c>
      <c r="O172" s="2">
        <v>43100</v>
      </c>
      <c r="P172" s="2">
        <v>43147</v>
      </c>
      <c r="Q172" s="1" t="s">
        <v>22</v>
      </c>
    </row>
    <row r="173" spans="1:17" x14ac:dyDescent="0.25">
      <c r="A173" s="1" t="s">
        <v>39</v>
      </c>
      <c r="B173" s="1" t="s">
        <v>24</v>
      </c>
      <c r="C173" s="1" t="s">
        <v>231</v>
      </c>
      <c r="D173" s="1" t="s">
        <v>260</v>
      </c>
      <c r="E173" s="1" t="s">
        <v>261</v>
      </c>
      <c r="F173" s="1" t="s">
        <v>19</v>
      </c>
      <c r="G173" s="1" t="s">
        <v>227</v>
      </c>
      <c r="H173" s="1" t="s">
        <v>222</v>
      </c>
      <c r="I173" s="1" t="s">
        <v>21</v>
      </c>
      <c r="J173" s="3">
        <v>13517</v>
      </c>
      <c r="K173" s="1" t="s">
        <v>142</v>
      </c>
      <c r="L173" s="1" t="s">
        <v>21</v>
      </c>
      <c r="M173" s="1" t="s">
        <v>21</v>
      </c>
      <c r="N173" s="1" t="s">
        <v>231</v>
      </c>
      <c r="O173" s="2">
        <v>43100</v>
      </c>
      <c r="P173" s="2">
        <v>43147</v>
      </c>
      <c r="Q173" s="1" t="s">
        <v>22</v>
      </c>
    </row>
    <row r="174" spans="1:17" x14ac:dyDescent="0.25">
      <c r="A174" s="1" t="s">
        <v>39</v>
      </c>
      <c r="B174" s="1" t="s">
        <v>24</v>
      </c>
      <c r="C174" s="1" t="s">
        <v>40</v>
      </c>
      <c r="D174" s="1" t="s">
        <v>262</v>
      </c>
      <c r="E174" s="1" t="s">
        <v>240</v>
      </c>
      <c r="F174" s="1" t="s">
        <v>19</v>
      </c>
      <c r="G174" s="1" t="s">
        <v>227</v>
      </c>
      <c r="H174" s="1" t="s">
        <v>222</v>
      </c>
      <c r="I174" s="1" t="s">
        <v>21</v>
      </c>
      <c r="J174" s="3">
        <v>-111251</v>
      </c>
      <c r="K174" s="1" t="s">
        <v>142</v>
      </c>
      <c r="L174" s="1" t="s">
        <v>21</v>
      </c>
      <c r="M174" s="1" t="s">
        <v>21</v>
      </c>
      <c r="N174" s="1" t="s">
        <v>40</v>
      </c>
      <c r="O174" s="2">
        <v>43100</v>
      </c>
      <c r="P174" s="2">
        <v>43131</v>
      </c>
      <c r="Q174" s="1" t="s">
        <v>22</v>
      </c>
    </row>
    <row r="175" spans="1:17" x14ac:dyDescent="0.25">
      <c r="A175" s="1" t="s">
        <v>39</v>
      </c>
      <c r="B175" s="1" t="s">
        <v>24</v>
      </c>
      <c r="C175" s="1" t="s">
        <v>40</v>
      </c>
      <c r="D175" s="1" t="s">
        <v>257</v>
      </c>
      <c r="E175" s="1" t="s">
        <v>241</v>
      </c>
      <c r="F175" s="1" t="s">
        <v>19</v>
      </c>
      <c r="G175" s="1" t="s">
        <v>227</v>
      </c>
      <c r="H175" s="1" t="s">
        <v>222</v>
      </c>
      <c r="I175" s="1" t="s">
        <v>21</v>
      </c>
      <c r="J175" s="3">
        <v>-818586</v>
      </c>
      <c r="K175" s="1" t="s">
        <v>142</v>
      </c>
      <c r="L175" s="1" t="s">
        <v>21</v>
      </c>
      <c r="M175" s="1" t="s">
        <v>21</v>
      </c>
      <c r="N175" s="1" t="s">
        <v>40</v>
      </c>
      <c r="O175" s="2">
        <v>43100</v>
      </c>
      <c r="P175" s="2">
        <v>43131</v>
      </c>
      <c r="Q175" s="1" t="s">
        <v>22</v>
      </c>
    </row>
    <row r="176" spans="1:17" x14ac:dyDescent="0.25">
      <c r="A176" s="1" t="s">
        <v>39</v>
      </c>
      <c r="B176" s="1" t="s">
        <v>24</v>
      </c>
      <c r="C176" s="1" t="s">
        <v>40</v>
      </c>
      <c r="D176" s="1" t="s">
        <v>258</v>
      </c>
      <c r="E176" s="1" t="s">
        <v>259</v>
      </c>
      <c r="F176" s="1" t="s">
        <v>19</v>
      </c>
      <c r="G176" s="1" t="s">
        <v>227</v>
      </c>
      <c r="H176" s="1" t="s">
        <v>222</v>
      </c>
      <c r="I176" s="1" t="s">
        <v>21</v>
      </c>
      <c r="J176" s="3">
        <v>-902252</v>
      </c>
      <c r="K176" s="1" t="s">
        <v>142</v>
      </c>
      <c r="L176" s="1" t="s">
        <v>21</v>
      </c>
      <c r="M176" s="1" t="s">
        <v>21</v>
      </c>
      <c r="N176" s="1" t="s">
        <v>40</v>
      </c>
      <c r="O176" s="2">
        <v>43100</v>
      </c>
      <c r="P176" s="2">
        <v>43131</v>
      </c>
      <c r="Q176" s="1" t="s">
        <v>22</v>
      </c>
    </row>
    <row r="177" spans="1:17" x14ac:dyDescent="0.25">
      <c r="A177" s="1" t="s">
        <v>39</v>
      </c>
      <c r="B177" s="1" t="s">
        <v>24</v>
      </c>
      <c r="C177" s="1" t="s">
        <v>40</v>
      </c>
      <c r="D177" s="1" t="s">
        <v>229</v>
      </c>
      <c r="E177" s="1" t="s">
        <v>18</v>
      </c>
      <c r="F177" s="1" t="s">
        <v>19</v>
      </c>
      <c r="G177" s="1" t="s">
        <v>227</v>
      </c>
      <c r="H177" s="1" t="s">
        <v>222</v>
      </c>
      <c r="I177" s="1" t="s">
        <v>21</v>
      </c>
      <c r="J177" s="3">
        <v>-506127</v>
      </c>
      <c r="K177" s="1" t="s">
        <v>142</v>
      </c>
      <c r="L177" s="1" t="s">
        <v>21</v>
      </c>
      <c r="M177" s="1" t="s">
        <v>21</v>
      </c>
      <c r="N177" s="1" t="s">
        <v>40</v>
      </c>
      <c r="O177" s="2">
        <v>43100</v>
      </c>
      <c r="P177" s="2">
        <v>43131</v>
      </c>
      <c r="Q177" s="1" t="s">
        <v>22</v>
      </c>
    </row>
    <row r="178" spans="1:17" x14ac:dyDescent="0.25">
      <c r="A178" s="1" t="s">
        <v>39</v>
      </c>
      <c r="B178" s="1" t="s">
        <v>24</v>
      </c>
      <c r="C178" s="1" t="s">
        <v>231</v>
      </c>
      <c r="D178" s="1" t="s">
        <v>254</v>
      </c>
      <c r="E178" s="1" t="s">
        <v>56</v>
      </c>
      <c r="F178" s="1" t="s">
        <v>19</v>
      </c>
      <c r="G178" s="1" t="s">
        <v>227</v>
      </c>
      <c r="H178" s="1" t="s">
        <v>222</v>
      </c>
      <c r="I178" s="1" t="s">
        <v>21</v>
      </c>
      <c r="J178" s="3">
        <v>3604461</v>
      </c>
      <c r="K178" s="1" t="s">
        <v>142</v>
      </c>
      <c r="L178" s="1" t="s">
        <v>21</v>
      </c>
      <c r="M178" s="1" t="s">
        <v>21</v>
      </c>
      <c r="N178" s="1" t="s">
        <v>231</v>
      </c>
      <c r="O178" s="2">
        <v>43100</v>
      </c>
      <c r="P178" s="2">
        <v>43147</v>
      </c>
      <c r="Q178" s="1" t="s">
        <v>22</v>
      </c>
    </row>
    <row r="179" spans="1:17" x14ac:dyDescent="0.25">
      <c r="A179" s="1" t="s">
        <v>39</v>
      </c>
      <c r="B179" s="1" t="s">
        <v>24</v>
      </c>
      <c r="C179" s="1" t="s">
        <v>231</v>
      </c>
      <c r="D179" s="1" t="s">
        <v>257</v>
      </c>
      <c r="E179" s="1" t="s">
        <v>241</v>
      </c>
      <c r="F179" s="1" t="s">
        <v>19</v>
      </c>
      <c r="G179" s="1" t="s">
        <v>227</v>
      </c>
      <c r="H179" s="1" t="s">
        <v>222</v>
      </c>
      <c r="I179" s="1" t="s">
        <v>21</v>
      </c>
      <c r="J179" s="3">
        <v>300762</v>
      </c>
      <c r="K179" s="1" t="s">
        <v>142</v>
      </c>
      <c r="L179" s="1" t="s">
        <v>21</v>
      </c>
      <c r="M179" s="1" t="s">
        <v>21</v>
      </c>
      <c r="N179" s="1" t="s">
        <v>231</v>
      </c>
      <c r="O179" s="2">
        <v>43100</v>
      </c>
      <c r="P179" s="2">
        <v>43147</v>
      </c>
      <c r="Q179" s="1" t="s">
        <v>22</v>
      </c>
    </row>
    <row r="180" spans="1:17" x14ac:dyDescent="0.25">
      <c r="A180" s="1" t="s">
        <v>39</v>
      </c>
      <c r="B180" s="1" t="s">
        <v>24</v>
      </c>
      <c r="C180" s="1" t="s">
        <v>231</v>
      </c>
      <c r="D180" s="1" t="s">
        <v>258</v>
      </c>
      <c r="E180" s="1" t="s">
        <v>259</v>
      </c>
      <c r="F180" s="1" t="s">
        <v>19</v>
      </c>
      <c r="G180" s="1" t="s">
        <v>227</v>
      </c>
      <c r="H180" s="1" t="s">
        <v>222</v>
      </c>
      <c r="I180" s="1" t="s">
        <v>21</v>
      </c>
      <c r="J180" s="3">
        <v>902252</v>
      </c>
      <c r="K180" s="1" t="s">
        <v>142</v>
      </c>
      <c r="L180" s="1" t="s">
        <v>21</v>
      </c>
      <c r="M180" s="1" t="s">
        <v>21</v>
      </c>
      <c r="N180" s="1" t="s">
        <v>231</v>
      </c>
      <c r="O180" s="2">
        <v>43100</v>
      </c>
      <c r="P180" s="2">
        <v>43147</v>
      </c>
      <c r="Q180" s="1" t="s">
        <v>22</v>
      </c>
    </row>
    <row r="181" spans="1:17" x14ac:dyDescent="0.25">
      <c r="A181" s="1" t="s">
        <v>39</v>
      </c>
      <c r="B181" s="1" t="s">
        <v>24</v>
      </c>
      <c r="C181" s="1" t="s">
        <v>231</v>
      </c>
      <c r="D181" s="1" t="s">
        <v>229</v>
      </c>
      <c r="E181" s="1" t="s">
        <v>18</v>
      </c>
      <c r="F181" s="1" t="s">
        <v>19</v>
      </c>
      <c r="G181" s="1" t="s">
        <v>227</v>
      </c>
      <c r="H181" s="1" t="s">
        <v>222</v>
      </c>
      <c r="I181" s="1" t="s">
        <v>21</v>
      </c>
      <c r="J181" s="3">
        <v>506127</v>
      </c>
      <c r="K181" s="1" t="s">
        <v>142</v>
      </c>
      <c r="L181" s="1" t="s">
        <v>21</v>
      </c>
      <c r="M181" s="1" t="s">
        <v>21</v>
      </c>
      <c r="N181" s="1" t="s">
        <v>231</v>
      </c>
      <c r="O181" s="2">
        <v>43100</v>
      </c>
      <c r="P181" s="2">
        <v>43147</v>
      </c>
      <c r="Q181" s="1" t="s">
        <v>22</v>
      </c>
    </row>
    <row r="182" spans="1:17" x14ac:dyDescent="0.25">
      <c r="A182" s="1" t="s">
        <v>39</v>
      </c>
      <c r="B182" s="1" t="s">
        <v>24</v>
      </c>
      <c r="C182" s="1" t="s">
        <v>40</v>
      </c>
      <c r="D182" s="1" t="s">
        <v>255</v>
      </c>
      <c r="E182" s="1" t="s">
        <v>256</v>
      </c>
      <c r="F182" s="1" t="s">
        <v>19</v>
      </c>
      <c r="G182" s="1" t="s">
        <v>227</v>
      </c>
      <c r="H182" s="1" t="s">
        <v>222</v>
      </c>
      <c r="I182" s="1" t="s">
        <v>21</v>
      </c>
      <c r="J182" s="3">
        <v>90</v>
      </c>
      <c r="K182" s="1" t="s">
        <v>128</v>
      </c>
      <c r="L182" s="1" t="s">
        <v>21</v>
      </c>
      <c r="M182" s="1" t="s">
        <v>21</v>
      </c>
      <c r="N182" s="1" t="s">
        <v>40</v>
      </c>
      <c r="O182" s="2">
        <v>43100</v>
      </c>
      <c r="P182" s="2">
        <v>43131</v>
      </c>
      <c r="Q182" s="1" t="s">
        <v>22</v>
      </c>
    </row>
    <row r="183" spans="1:17" x14ac:dyDescent="0.25">
      <c r="A183" s="1" t="s">
        <v>39</v>
      </c>
      <c r="B183" s="1" t="s">
        <v>24</v>
      </c>
      <c r="C183" s="1" t="s">
        <v>40</v>
      </c>
      <c r="D183" s="1" t="s">
        <v>262</v>
      </c>
      <c r="E183" s="1" t="s">
        <v>240</v>
      </c>
      <c r="F183" s="1" t="s">
        <v>19</v>
      </c>
      <c r="G183" s="1" t="s">
        <v>227</v>
      </c>
      <c r="H183" s="1" t="s">
        <v>222</v>
      </c>
      <c r="I183" s="1" t="s">
        <v>21</v>
      </c>
      <c r="J183" s="3">
        <v>54602</v>
      </c>
      <c r="K183" s="1" t="s">
        <v>128</v>
      </c>
      <c r="L183" s="1" t="s">
        <v>21</v>
      </c>
      <c r="M183" s="1" t="s">
        <v>21</v>
      </c>
      <c r="N183" s="1" t="s">
        <v>40</v>
      </c>
      <c r="O183" s="2">
        <v>43100</v>
      </c>
      <c r="P183" s="2">
        <v>43131</v>
      </c>
      <c r="Q183" s="1" t="s">
        <v>22</v>
      </c>
    </row>
    <row r="184" spans="1:17" x14ac:dyDescent="0.25">
      <c r="A184" s="1" t="s">
        <v>39</v>
      </c>
      <c r="B184" s="1" t="s">
        <v>24</v>
      </c>
      <c r="C184" s="1" t="s">
        <v>40</v>
      </c>
      <c r="D184" s="1" t="s">
        <v>257</v>
      </c>
      <c r="E184" s="1" t="s">
        <v>241</v>
      </c>
      <c r="F184" s="1" t="s">
        <v>19</v>
      </c>
      <c r="G184" s="1" t="s">
        <v>227</v>
      </c>
      <c r="H184" s="1" t="s">
        <v>222</v>
      </c>
      <c r="I184" s="1" t="s">
        <v>21</v>
      </c>
      <c r="J184" s="3">
        <v>15258</v>
      </c>
      <c r="K184" s="1" t="s">
        <v>128</v>
      </c>
      <c r="L184" s="1" t="s">
        <v>21</v>
      </c>
      <c r="M184" s="1" t="s">
        <v>21</v>
      </c>
      <c r="N184" s="1" t="s">
        <v>40</v>
      </c>
      <c r="O184" s="2">
        <v>43100</v>
      </c>
      <c r="P184" s="2">
        <v>43131</v>
      </c>
      <c r="Q184" s="1" t="s">
        <v>22</v>
      </c>
    </row>
    <row r="185" spans="1:17" x14ac:dyDescent="0.25">
      <c r="A185" s="1" t="s">
        <v>39</v>
      </c>
      <c r="B185" s="1" t="s">
        <v>24</v>
      </c>
      <c r="C185" s="1" t="s">
        <v>40</v>
      </c>
      <c r="D185" s="1" t="s">
        <v>229</v>
      </c>
      <c r="E185" s="1" t="s">
        <v>18</v>
      </c>
      <c r="F185" s="1" t="s">
        <v>19</v>
      </c>
      <c r="G185" s="1" t="s">
        <v>227</v>
      </c>
      <c r="H185" s="1" t="s">
        <v>222</v>
      </c>
      <c r="I185" s="1" t="s">
        <v>21</v>
      </c>
      <c r="J185" s="3">
        <v>415</v>
      </c>
      <c r="K185" s="1" t="s">
        <v>71</v>
      </c>
      <c r="L185" s="1" t="s">
        <v>21</v>
      </c>
      <c r="M185" s="1" t="s">
        <v>21</v>
      </c>
      <c r="N185" s="1" t="s">
        <v>40</v>
      </c>
      <c r="O185" s="2">
        <v>43100</v>
      </c>
      <c r="P185" s="2">
        <v>43131</v>
      </c>
      <c r="Q185" s="1" t="s">
        <v>22</v>
      </c>
    </row>
    <row r="186" spans="1:17" x14ac:dyDescent="0.25">
      <c r="A186" s="1" t="s">
        <v>39</v>
      </c>
      <c r="B186" s="1" t="s">
        <v>24</v>
      </c>
      <c r="C186" s="1" t="s">
        <v>231</v>
      </c>
      <c r="D186" s="1" t="s">
        <v>252</v>
      </c>
      <c r="E186" s="1" t="s">
        <v>253</v>
      </c>
      <c r="F186" s="1" t="s">
        <v>19</v>
      </c>
      <c r="G186" s="1" t="s">
        <v>227</v>
      </c>
      <c r="H186" s="1" t="s">
        <v>222</v>
      </c>
      <c r="I186" s="1" t="s">
        <v>21</v>
      </c>
      <c r="J186" s="3">
        <v>2208729</v>
      </c>
      <c r="K186" s="1" t="s">
        <v>142</v>
      </c>
      <c r="L186" s="1" t="s">
        <v>21</v>
      </c>
      <c r="M186" s="1" t="s">
        <v>21</v>
      </c>
      <c r="N186" s="1" t="s">
        <v>231</v>
      </c>
      <c r="O186" s="2">
        <v>43100</v>
      </c>
      <c r="P186" s="2">
        <v>43147</v>
      </c>
      <c r="Q186" s="1" t="s">
        <v>22</v>
      </c>
    </row>
    <row r="187" spans="1:17" x14ac:dyDescent="0.25">
      <c r="A187" s="1" t="s">
        <v>39</v>
      </c>
      <c r="B187" s="1" t="s">
        <v>24</v>
      </c>
      <c r="C187" s="1" t="s">
        <v>231</v>
      </c>
      <c r="D187" s="1" t="s">
        <v>257</v>
      </c>
      <c r="E187" s="1" t="s">
        <v>241</v>
      </c>
      <c r="F187" s="1" t="s">
        <v>19</v>
      </c>
      <c r="G187" s="1" t="s">
        <v>227</v>
      </c>
      <c r="H187" s="1" t="s">
        <v>222</v>
      </c>
      <c r="I187" s="1" t="s">
        <v>21</v>
      </c>
      <c r="J187" s="3">
        <v>818586</v>
      </c>
      <c r="K187" s="1" t="s">
        <v>142</v>
      </c>
      <c r="L187" s="1" t="s">
        <v>21</v>
      </c>
      <c r="M187" s="1" t="s">
        <v>21</v>
      </c>
      <c r="N187" s="1" t="s">
        <v>231</v>
      </c>
      <c r="O187" s="2">
        <v>43100</v>
      </c>
      <c r="P187" s="2">
        <v>43147</v>
      </c>
      <c r="Q187" s="1" t="s">
        <v>22</v>
      </c>
    </row>
    <row r="188" spans="1:17" x14ac:dyDescent="0.25">
      <c r="A188" s="1" t="s">
        <v>39</v>
      </c>
      <c r="B188" s="1" t="s">
        <v>24</v>
      </c>
      <c r="C188" s="1" t="s">
        <v>231</v>
      </c>
      <c r="D188" s="1" t="s">
        <v>258</v>
      </c>
      <c r="E188" s="1" t="s">
        <v>259</v>
      </c>
      <c r="F188" s="1" t="s">
        <v>19</v>
      </c>
      <c r="G188" s="1" t="s">
        <v>227</v>
      </c>
      <c r="H188" s="1" t="s">
        <v>222</v>
      </c>
      <c r="I188" s="1" t="s">
        <v>21</v>
      </c>
      <c r="J188" s="3">
        <v>4054634</v>
      </c>
      <c r="K188" s="1" t="s">
        <v>142</v>
      </c>
      <c r="L188" s="1" t="s">
        <v>21</v>
      </c>
      <c r="M188" s="1" t="s">
        <v>21</v>
      </c>
      <c r="N188" s="1" t="s">
        <v>231</v>
      </c>
      <c r="O188" s="2">
        <v>43100</v>
      </c>
      <c r="P188" s="2">
        <v>43147</v>
      </c>
      <c r="Q188" s="1" t="s">
        <v>22</v>
      </c>
    </row>
    <row r="189" spans="1:17" x14ac:dyDescent="0.25">
      <c r="A189" s="1" t="s">
        <v>39</v>
      </c>
      <c r="B189" s="1" t="s">
        <v>24</v>
      </c>
      <c r="C189" s="1" t="s">
        <v>231</v>
      </c>
      <c r="D189" s="1" t="s">
        <v>228</v>
      </c>
      <c r="E189" s="1" t="s">
        <v>30</v>
      </c>
      <c r="F189" s="1" t="s">
        <v>19</v>
      </c>
      <c r="G189" s="1" t="s">
        <v>227</v>
      </c>
      <c r="H189" s="1" t="s">
        <v>222</v>
      </c>
      <c r="I189" s="1" t="s">
        <v>21</v>
      </c>
      <c r="J189" s="3">
        <v>1111546</v>
      </c>
      <c r="K189" s="1" t="s">
        <v>142</v>
      </c>
      <c r="L189" s="1" t="s">
        <v>21</v>
      </c>
      <c r="M189" s="1" t="s">
        <v>21</v>
      </c>
      <c r="N189" s="1" t="s">
        <v>231</v>
      </c>
      <c r="O189" s="2">
        <v>43100</v>
      </c>
      <c r="P189" s="2">
        <v>43147</v>
      </c>
      <c r="Q189" s="1" t="s">
        <v>22</v>
      </c>
    </row>
    <row r="190" spans="1:17" x14ac:dyDescent="0.25">
      <c r="A190" s="1" t="s">
        <v>39</v>
      </c>
      <c r="B190" s="1" t="s">
        <v>24</v>
      </c>
      <c r="C190" s="1" t="s">
        <v>40</v>
      </c>
      <c r="D190" s="1" t="s">
        <v>258</v>
      </c>
      <c r="E190" s="1" t="s">
        <v>259</v>
      </c>
      <c r="F190" s="1" t="s">
        <v>19</v>
      </c>
      <c r="G190" s="1" t="s">
        <v>227</v>
      </c>
      <c r="H190" s="1" t="s">
        <v>222</v>
      </c>
      <c r="I190" s="1" t="s">
        <v>21</v>
      </c>
      <c r="J190" s="3">
        <v>86386</v>
      </c>
      <c r="K190" s="1" t="s">
        <v>126</v>
      </c>
      <c r="L190" s="1" t="s">
        <v>21</v>
      </c>
      <c r="M190" s="1" t="s">
        <v>21</v>
      </c>
      <c r="N190" s="1" t="s">
        <v>40</v>
      </c>
      <c r="O190" s="2">
        <v>43100</v>
      </c>
      <c r="P190" s="2">
        <v>43131</v>
      </c>
      <c r="Q190" s="1" t="s">
        <v>22</v>
      </c>
    </row>
    <row r="191" spans="1:17" x14ac:dyDescent="0.25">
      <c r="A191" s="1" t="s">
        <v>39</v>
      </c>
      <c r="B191" s="1" t="s">
        <v>24</v>
      </c>
      <c r="C191" s="1" t="s">
        <v>40</v>
      </c>
      <c r="D191" s="1" t="s">
        <v>260</v>
      </c>
      <c r="E191" s="1" t="s">
        <v>261</v>
      </c>
      <c r="F191" s="1" t="s">
        <v>19</v>
      </c>
      <c r="G191" s="1" t="s">
        <v>227</v>
      </c>
      <c r="H191" s="1" t="s">
        <v>222</v>
      </c>
      <c r="I191" s="1" t="s">
        <v>21</v>
      </c>
      <c r="J191" s="3">
        <v>-4414</v>
      </c>
      <c r="K191" s="1" t="s">
        <v>125</v>
      </c>
      <c r="L191" s="1" t="s">
        <v>21</v>
      </c>
      <c r="M191" s="1" t="s">
        <v>21</v>
      </c>
      <c r="N191" s="1" t="s">
        <v>40</v>
      </c>
      <c r="O191" s="2">
        <v>43100</v>
      </c>
      <c r="P191" s="2">
        <v>43131</v>
      </c>
      <c r="Q191" s="1" t="s">
        <v>22</v>
      </c>
    </row>
    <row r="192" spans="1:17" x14ac:dyDescent="0.25">
      <c r="A192" s="1" t="s">
        <v>39</v>
      </c>
      <c r="B192" s="1" t="s">
        <v>24</v>
      </c>
      <c r="C192" s="1" t="s">
        <v>40</v>
      </c>
      <c r="D192" s="1" t="s">
        <v>226</v>
      </c>
      <c r="E192" s="1" t="s">
        <v>30</v>
      </c>
      <c r="F192" s="1" t="s">
        <v>19</v>
      </c>
      <c r="G192" s="1" t="s">
        <v>227</v>
      </c>
      <c r="H192" s="1" t="s">
        <v>224</v>
      </c>
      <c r="I192" s="1" t="s">
        <v>21</v>
      </c>
      <c r="J192" s="3">
        <v>30471</v>
      </c>
      <c r="K192" s="1" t="s">
        <v>63</v>
      </c>
      <c r="L192" s="1" t="s">
        <v>21</v>
      </c>
      <c r="M192" s="1" t="s">
        <v>21</v>
      </c>
      <c r="N192" s="1" t="s">
        <v>40</v>
      </c>
      <c r="O192" s="2">
        <v>43100</v>
      </c>
      <c r="P192" s="2">
        <v>43131</v>
      </c>
      <c r="Q192" s="1" t="s">
        <v>22</v>
      </c>
    </row>
    <row r="193" spans="1:17" x14ac:dyDescent="0.25">
      <c r="A193" s="1" t="s">
        <v>39</v>
      </c>
      <c r="B193" s="1" t="s">
        <v>24</v>
      </c>
      <c r="C193" s="1" t="s">
        <v>40</v>
      </c>
      <c r="D193" s="1" t="s">
        <v>228</v>
      </c>
      <c r="E193" s="1" t="s">
        <v>30</v>
      </c>
      <c r="F193" s="1" t="s">
        <v>19</v>
      </c>
      <c r="G193" s="1" t="s">
        <v>227</v>
      </c>
      <c r="H193" s="1" t="s">
        <v>222</v>
      </c>
      <c r="I193" s="1" t="s">
        <v>21</v>
      </c>
      <c r="J193" s="3">
        <v>-95</v>
      </c>
      <c r="K193" s="1" t="s">
        <v>126</v>
      </c>
      <c r="L193" s="1" t="s">
        <v>21</v>
      </c>
      <c r="M193" s="1" t="s">
        <v>21</v>
      </c>
      <c r="N193" s="1" t="s">
        <v>40</v>
      </c>
      <c r="O193" s="2">
        <v>43100</v>
      </c>
      <c r="P193" s="2">
        <v>43131</v>
      </c>
      <c r="Q193" s="1" t="s">
        <v>22</v>
      </c>
    </row>
    <row r="194" spans="1:17" x14ac:dyDescent="0.25">
      <c r="A194" s="1" t="s">
        <v>39</v>
      </c>
      <c r="B194" s="1" t="s">
        <v>24</v>
      </c>
      <c r="C194" s="1" t="s">
        <v>40</v>
      </c>
      <c r="D194" s="1" t="s">
        <v>228</v>
      </c>
      <c r="E194" s="1" t="s">
        <v>30</v>
      </c>
      <c r="F194" s="1" t="s">
        <v>19</v>
      </c>
      <c r="G194" s="1" t="s">
        <v>227</v>
      </c>
      <c r="H194" s="1" t="s">
        <v>222</v>
      </c>
      <c r="I194" s="1" t="s">
        <v>21</v>
      </c>
      <c r="J194" s="3">
        <v>-20287</v>
      </c>
      <c r="K194" s="1" t="s">
        <v>133</v>
      </c>
      <c r="L194" s="1" t="s">
        <v>21</v>
      </c>
      <c r="M194" s="1" t="s">
        <v>21</v>
      </c>
      <c r="N194" s="1" t="s">
        <v>40</v>
      </c>
      <c r="O194" s="2">
        <v>43100</v>
      </c>
      <c r="P194" s="2">
        <v>43131</v>
      </c>
      <c r="Q194" s="1" t="s">
        <v>22</v>
      </c>
    </row>
    <row r="195" spans="1:17" x14ac:dyDescent="0.25">
      <c r="A195" s="1" t="s">
        <v>39</v>
      </c>
      <c r="B195" s="1" t="s">
        <v>24</v>
      </c>
      <c r="C195" s="1" t="s">
        <v>40</v>
      </c>
      <c r="D195" s="1" t="s">
        <v>266</v>
      </c>
      <c r="E195" s="1" t="s">
        <v>267</v>
      </c>
      <c r="F195" s="1" t="s">
        <v>19</v>
      </c>
      <c r="G195" s="1" t="s">
        <v>227</v>
      </c>
      <c r="H195" s="1" t="s">
        <v>222</v>
      </c>
      <c r="I195" s="1" t="s">
        <v>21</v>
      </c>
      <c r="J195" s="3">
        <v>-7629</v>
      </c>
      <c r="K195" s="1" t="s">
        <v>134</v>
      </c>
      <c r="L195" s="1" t="s">
        <v>21</v>
      </c>
      <c r="M195" s="1" t="s">
        <v>21</v>
      </c>
      <c r="N195" s="1" t="s">
        <v>40</v>
      </c>
      <c r="O195" s="2">
        <v>43100</v>
      </c>
      <c r="P195" s="2">
        <v>43131</v>
      </c>
      <c r="Q195" s="1" t="s">
        <v>22</v>
      </c>
    </row>
    <row r="196" spans="1:17" x14ac:dyDescent="0.25">
      <c r="A196" s="1" t="s">
        <v>39</v>
      </c>
      <c r="B196" s="1" t="s">
        <v>24</v>
      </c>
      <c r="C196" s="1" t="s">
        <v>40</v>
      </c>
      <c r="D196" s="1" t="s">
        <v>252</v>
      </c>
      <c r="E196" s="1" t="s">
        <v>253</v>
      </c>
      <c r="F196" s="1" t="s">
        <v>19</v>
      </c>
      <c r="G196" s="1" t="s">
        <v>227</v>
      </c>
      <c r="H196" s="1" t="s">
        <v>222</v>
      </c>
      <c r="I196" s="1" t="s">
        <v>21</v>
      </c>
      <c r="J196" s="3">
        <v>29509</v>
      </c>
      <c r="K196" s="1" t="s">
        <v>245</v>
      </c>
      <c r="L196" s="1" t="s">
        <v>21</v>
      </c>
      <c r="M196" s="1" t="s">
        <v>21</v>
      </c>
      <c r="N196" s="1" t="s">
        <v>40</v>
      </c>
      <c r="O196" s="2">
        <v>43100</v>
      </c>
      <c r="P196" s="2">
        <v>43131</v>
      </c>
      <c r="Q196" s="1" t="s">
        <v>22</v>
      </c>
    </row>
    <row r="197" spans="1:17" x14ac:dyDescent="0.25">
      <c r="A197" s="1" t="s">
        <v>39</v>
      </c>
      <c r="B197" s="1" t="s">
        <v>24</v>
      </c>
      <c r="C197" s="1" t="s">
        <v>40</v>
      </c>
      <c r="D197" s="1" t="s">
        <v>252</v>
      </c>
      <c r="E197" s="1" t="s">
        <v>253</v>
      </c>
      <c r="F197" s="1" t="s">
        <v>19</v>
      </c>
      <c r="G197" s="1" t="s">
        <v>227</v>
      </c>
      <c r="H197" s="1" t="s">
        <v>222</v>
      </c>
      <c r="I197" s="1" t="s">
        <v>21</v>
      </c>
      <c r="J197" s="3">
        <v>-25508</v>
      </c>
      <c r="K197" s="1" t="s">
        <v>125</v>
      </c>
      <c r="L197" s="1" t="s">
        <v>21</v>
      </c>
      <c r="M197" s="1" t="s">
        <v>21</v>
      </c>
      <c r="N197" s="1" t="s">
        <v>40</v>
      </c>
      <c r="O197" s="2">
        <v>43100</v>
      </c>
      <c r="P197" s="2">
        <v>43131</v>
      </c>
      <c r="Q197" s="1" t="s">
        <v>22</v>
      </c>
    </row>
    <row r="198" spans="1:17" x14ac:dyDescent="0.25">
      <c r="A198" s="1" t="s">
        <v>39</v>
      </c>
      <c r="B198" s="1" t="s">
        <v>24</v>
      </c>
      <c r="C198" s="1" t="s">
        <v>40</v>
      </c>
      <c r="D198" s="1" t="s">
        <v>255</v>
      </c>
      <c r="E198" s="1" t="s">
        <v>256</v>
      </c>
      <c r="F198" s="1" t="s">
        <v>19</v>
      </c>
      <c r="G198" s="1" t="s">
        <v>227</v>
      </c>
      <c r="H198" s="1" t="s">
        <v>222</v>
      </c>
      <c r="I198" s="1" t="s">
        <v>21</v>
      </c>
      <c r="J198" s="3">
        <v>-19692</v>
      </c>
      <c r="K198" s="1" t="s">
        <v>281</v>
      </c>
      <c r="L198" s="1" t="s">
        <v>21</v>
      </c>
      <c r="M198" s="1" t="s">
        <v>21</v>
      </c>
      <c r="N198" s="1" t="s">
        <v>40</v>
      </c>
      <c r="O198" s="2">
        <v>43100</v>
      </c>
      <c r="P198" s="2">
        <v>43131</v>
      </c>
      <c r="Q198" s="1" t="s">
        <v>22</v>
      </c>
    </row>
    <row r="199" spans="1:17" x14ac:dyDescent="0.25">
      <c r="A199" s="1" t="s">
        <v>39</v>
      </c>
      <c r="B199" s="1" t="s">
        <v>24</v>
      </c>
      <c r="C199" s="1" t="s">
        <v>40</v>
      </c>
      <c r="D199" s="1" t="s">
        <v>255</v>
      </c>
      <c r="E199" s="1" t="s">
        <v>256</v>
      </c>
      <c r="F199" s="1" t="s">
        <v>19</v>
      </c>
      <c r="G199" s="1" t="s">
        <v>227</v>
      </c>
      <c r="H199" s="1" t="s">
        <v>222</v>
      </c>
      <c r="I199" s="1" t="s">
        <v>21</v>
      </c>
      <c r="J199" s="3">
        <v>-190751</v>
      </c>
      <c r="K199" s="1" t="s">
        <v>133</v>
      </c>
      <c r="L199" s="1" t="s">
        <v>21</v>
      </c>
      <c r="M199" s="1" t="s">
        <v>21</v>
      </c>
      <c r="N199" s="1" t="s">
        <v>40</v>
      </c>
      <c r="O199" s="2">
        <v>43100</v>
      </c>
      <c r="P199" s="2">
        <v>43131</v>
      </c>
      <c r="Q199" s="1" t="s">
        <v>22</v>
      </c>
    </row>
    <row r="200" spans="1:17" x14ac:dyDescent="0.25">
      <c r="A200" s="1" t="s">
        <v>39</v>
      </c>
      <c r="B200" s="1" t="s">
        <v>24</v>
      </c>
      <c r="C200" s="1" t="s">
        <v>40</v>
      </c>
      <c r="D200" s="1" t="s">
        <v>257</v>
      </c>
      <c r="E200" s="1" t="s">
        <v>241</v>
      </c>
      <c r="F200" s="1" t="s">
        <v>19</v>
      </c>
      <c r="G200" s="1" t="s">
        <v>227</v>
      </c>
      <c r="H200" s="1" t="s">
        <v>222</v>
      </c>
      <c r="I200" s="1" t="s">
        <v>21</v>
      </c>
      <c r="J200" s="3">
        <v>29670</v>
      </c>
      <c r="K200" s="1" t="s">
        <v>245</v>
      </c>
      <c r="L200" s="1" t="s">
        <v>21</v>
      </c>
      <c r="M200" s="1" t="s">
        <v>21</v>
      </c>
      <c r="N200" s="1" t="s">
        <v>40</v>
      </c>
      <c r="O200" s="2">
        <v>43100</v>
      </c>
      <c r="P200" s="2">
        <v>43131</v>
      </c>
      <c r="Q200" s="1" t="s">
        <v>22</v>
      </c>
    </row>
    <row r="201" spans="1:17" x14ac:dyDescent="0.25">
      <c r="A201" s="1" t="s">
        <v>39</v>
      </c>
      <c r="B201" s="1" t="s">
        <v>24</v>
      </c>
      <c r="C201" s="1" t="s">
        <v>40</v>
      </c>
      <c r="D201" s="1" t="s">
        <v>257</v>
      </c>
      <c r="E201" s="1" t="s">
        <v>241</v>
      </c>
      <c r="F201" s="1" t="s">
        <v>19</v>
      </c>
      <c r="G201" s="1" t="s">
        <v>227</v>
      </c>
      <c r="H201" s="1" t="s">
        <v>222</v>
      </c>
      <c r="I201" s="1" t="s">
        <v>21</v>
      </c>
      <c r="J201" s="3">
        <v>-85262</v>
      </c>
      <c r="K201" s="1" t="s">
        <v>134</v>
      </c>
      <c r="L201" s="1" t="s">
        <v>21</v>
      </c>
      <c r="M201" s="1" t="s">
        <v>21</v>
      </c>
      <c r="N201" s="1" t="s">
        <v>40</v>
      </c>
      <c r="O201" s="2">
        <v>43100</v>
      </c>
      <c r="P201" s="2">
        <v>43131</v>
      </c>
      <c r="Q201" s="1" t="s">
        <v>22</v>
      </c>
    </row>
    <row r="202" spans="1:17" x14ac:dyDescent="0.25">
      <c r="A202" s="1" t="s">
        <v>39</v>
      </c>
      <c r="B202" s="1" t="s">
        <v>24</v>
      </c>
      <c r="C202" s="1" t="s">
        <v>40</v>
      </c>
      <c r="D202" s="1" t="s">
        <v>258</v>
      </c>
      <c r="E202" s="1" t="s">
        <v>259</v>
      </c>
      <c r="F202" s="1" t="s">
        <v>19</v>
      </c>
      <c r="G202" s="1" t="s">
        <v>227</v>
      </c>
      <c r="H202" s="1" t="s">
        <v>222</v>
      </c>
      <c r="I202" s="1" t="s">
        <v>21</v>
      </c>
      <c r="J202" s="3">
        <v>-303</v>
      </c>
      <c r="K202" s="1" t="s">
        <v>125</v>
      </c>
      <c r="L202" s="1" t="s">
        <v>21</v>
      </c>
      <c r="M202" s="1" t="s">
        <v>21</v>
      </c>
      <c r="N202" s="1" t="s">
        <v>40</v>
      </c>
      <c r="O202" s="2">
        <v>43100</v>
      </c>
      <c r="P202" s="2">
        <v>43131</v>
      </c>
      <c r="Q202" s="1" t="s">
        <v>22</v>
      </c>
    </row>
    <row r="203" spans="1:17" x14ac:dyDescent="0.25">
      <c r="A203" s="1" t="s">
        <v>39</v>
      </c>
      <c r="B203" s="1" t="s">
        <v>24</v>
      </c>
      <c r="C203" s="1" t="s">
        <v>40</v>
      </c>
      <c r="D203" s="1" t="s">
        <v>252</v>
      </c>
      <c r="E203" s="1" t="s">
        <v>253</v>
      </c>
      <c r="F203" s="1" t="s">
        <v>19</v>
      </c>
      <c r="G203" s="1" t="s">
        <v>227</v>
      </c>
      <c r="H203" s="1" t="s">
        <v>222</v>
      </c>
      <c r="I203" s="1" t="s">
        <v>21</v>
      </c>
      <c r="J203" s="3">
        <v>-20602</v>
      </c>
      <c r="K203" s="1" t="s">
        <v>133</v>
      </c>
      <c r="L203" s="1" t="s">
        <v>21</v>
      </c>
      <c r="M203" s="1" t="s">
        <v>21</v>
      </c>
      <c r="N203" s="1" t="s">
        <v>40</v>
      </c>
      <c r="O203" s="2">
        <v>43100</v>
      </c>
      <c r="P203" s="2">
        <v>43131</v>
      </c>
      <c r="Q203" s="1" t="s">
        <v>22</v>
      </c>
    </row>
    <row r="204" spans="1:17" x14ac:dyDescent="0.25">
      <c r="A204" s="1" t="s">
        <v>39</v>
      </c>
      <c r="B204" s="1" t="s">
        <v>24</v>
      </c>
      <c r="C204" s="1" t="s">
        <v>40</v>
      </c>
      <c r="D204" s="1" t="s">
        <v>254</v>
      </c>
      <c r="E204" s="1" t="s">
        <v>56</v>
      </c>
      <c r="F204" s="1" t="s">
        <v>19</v>
      </c>
      <c r="G204" s="1" t="s">
        <v>227</v>
      </c>
      <c r="H204" s="1" t="s">
        <v>222</v>
      </c>
      <c r="I204" s="1" t="s">
        <v>21</v>
      </c>
      <c r="J204" s="3">
        <v>-153674</v>
      </c>
      <c r="K204" s="1" t="s">
        <v>134</v>
      </c>
      <c r="L204" s="1" t="s">
        <v>21</v>
      </c>
      <c r="M204" s="1" t="s">
        <v>21</v>
      </c>
      <c r="N204" s="1" t="s">
        <v>40</v>
      </c>
      <c r="O204" s="2">
        <v>43100</v>
      </c>
      <c r="P204" s="2">
        <v>43131</v>
      </c>
      <c r="Q204" s="1" t="s">
        <v>22</v>
      </c>
    </row>
    <row r="205" spans="1:17" x14ac:dyDescent="0.25">
      <c r="A205" s="1" t="s">
        <v>39</v>
      </c>
      <c r="B205" s="1" t="s">
        <v>24</v>
      </c>
      <c r="C205" s="1" t="s">
        <v>40</v>
      </c>
      <c r="D205" s="1" t="s">
        <v>255</v>
      </c>
      <c r="E205" s="1" t="s">
        <v>256</v>
      </c>
      <c r="F205" s="1" t="s">
        <v>19</v>
      </c>
      <c r="G205" s="1" t="s">
        <v>227</v>
      </c>
      <c r="H205" s="1" t="s">
        <v>222</v>
      </c>
      <c r="I205" s="1" t="s">
        <v>21</v>
      </c>
      <c r="J205" s="3">
        <v>-42</v>
      </c>
      <c r="K205" s="1" t="s">
        <v>126</v>
      </c>
      <c r="L205" s="1" t="s">
        <v>21</v>
      </c>
      <c r="M205" s="1" t="s">
        <v>21</v>
      </c>
      <c r="N205" s="1" t="s">
        <v>40</v>
      </c>
      <c r="O205" s="2">
        <v>43100</v>
      </c>
      <c r="P205" s="2">
        <v>43131</v>
      </c>
      <c r="Q205" s="1" t="s">
        <v>22</v>
      </c>
    </row>
    <row r="206" spans="1:17" x14ac:dyDescent="0.25">
      <c r="A206" s="1" t="s">
        <v>39</v>
      </c>
      <c r="B206" s="1" t="s">
        <v>24</v>
      </c>
      <c r="C206" s="1" t="s">
        <v>40</v>
      </c>
      <c r="D206" s="1" t="s">
        <v>257</v>
      </c>
      <c r="E206" s="1" t="s">
        <v>241</v>
      </c>
      <c r="F206" s="1" t="s">
        <v>19</v>
      </c>
      <c r="G206" s="1" t="s">
        <v>227</v>
      </c>
      <c r="H206" s="1" t="s">
        <v>222</v>
      </c>
      <c r="I206" s="1" t="s">
        <v>21</v>
      </c>
      <c r="J206" s="3">
        <v>1</v>
      </c>
      <c r="K206" s="1" t="s">
        <v>67</v>
      </c>
      <c r="L206" s="1" t="s">
        <v>21</v>
      </c>
      <c r="M206" s="1" t="s">
        <v>21</v>
      </c>
      <c r="N206" s="1" t="s">
        <v>40</v>
      </c>
      <c r="O206" s="2">
        <v>43100</v>
      </c>
      <c r="P206" s="2">
        <v>43131</v>
      </c>
      <c r="Q206" s="1" t="s">
        <v>22</v>
      </c>
    </row>
    <row r="207" spans="1:17" x14ac:dyDescent="0.25">
      <c r="A207" s="1" t="s">
        <v>39</v>
      </c>
      <c r="B207" s="1" t="s">
        <v>24</v>
      </c>
      <c r="C207" s="1" t="s">
        <v>40</v>
      </c>
      <c r="D207" s="1" t="s">
        <v>258</v>
      </c>
      <c r="E207" s="1" t="s">
        <v>259</v>
      </c>
      <c r="F207" s="1" t="s">
        <v>19</v>
      </c>
      <c r="G207" s="1" t="s">
        <v>227</v>
      </c>
      <c r="H207" s="1" t="s">
        <v>222</v>
      </c>
      <c r="I207" s="1" t="s">
        <v>21</v>
      </c>
      <c r="J207" s="3">
        <v>-33912</v>
      </c>
      <c r="K207" s="1" t="s">
        <v>250</v>
      </c>
      <c r="L207" s="1" t="s">
        <v>21</v>
      </c>
      <c r="M207" s="1" t="s">
        <v>21</v>
      </c>
      <c r="N207" s="1" t="s">
        <v>40</v>
      </c>
      <c r="O207" s="2">
        <v>43100</v>
      </c>
      <c r="P207" s="2">
        <v>43131</v>
      </c>
      <c r="Q207" s="1" t="s">
        <v>22</v>
      </c>
    </row>
    <row r="208" spans="1:17" x14ac:dyDescent="0.25">
      <c r="A208" s="1" t="s">
        <v>39</v>
      </c>
      <c r="B208" s="1" t="s">
        <v>24</v>
      </c>
      <c r="C208" s="1" t="s">
        <v>40</v>
      </c>
      <c r="D208" s="1" t="s">
        <v>258</v>
      </c>
      <c r="E208" s="1" t="s">
        <v>259</v>
      </c>
      <c r="F208" s="1" t="s">
        <v>19</v>
      </c>
      <c r="G208" s="1" t="s">
        <v>227</v>
      </c>
      <c r="H208" s="1" t="s">
        <v>222</v>
      </c>
      <c r="I208" s="1" t="s">
        <v>21</v>
      </c>
      <c r="J208" s="3">
        <v>-1694835</v>
      </c>
      <c r="K208" s="1" t="s">
        <v>133</v>
      </c>
      <c r="L208" s="1" t="s">
        <v>21</v>
      </c>
      <c r="M208" s="1" t="s">
        <v>21</v>
      </c>
      <c r="N208" s="1" t="s">
        <v>40</v>
      </c>
      <c r="O208" s="2">
        <v>43100</v>
      </c>
      <c r="P208" s="2">
        <v>43131</v>
      </c>
      <c r="Q208" s="1" t="s">
        <v>22</v>
      </c>
    </row>
    <row r="209" spans="1:17" x14ac:dyDescent="0.25">
      <c r="A209" s="1" t="s">
        <v>39</v>
      </c>
      <c r="B209" s="1" t="s">
        <v>24</v>
      </c>
      <c r="C209" s="1" t="s">
        <v>40</v>
      </c>
      <c r="D209" s="1" t="s">
        <v>260</v>
      </c>
      <c r="E209" s="1" t="s">
        <v>261</v>
      </c>
      <c r="F209" s="1" t="s">
        <v>19</v>
      </c>
      <c r="G209" s="1" t="s">
        <v>227</v>
      </c>
      <c r="H209" s="1" t="s">
        <v>222</v>
      </c>
      <c r="I209" s="1" t="s">
        <v>21</v>
      </c>
      <c r="J209" s="3">
        <v>1087</v>
      </c>
      <c r="K209" s="1" t="s">
        <v>245</v>
      </c>
      <c r="L209" s="1" t="s">
        <v>21</v>
      </c>
      <c r="M209" s="1" t="s">
        <v>21</v>
      </c>
      <c r="N209" s="1" t="s">
        <v>40</v>
      </c>
      <c r="O209" s="2">
        <v>43100</v>
      </c>
      <c r="P209" s="2">
        <v>43131</v>
      </c>
      <c r="Q209" s="1" t="s">
        <v>22</v>
      </c>
    </row>
    <row r="210" spans="1:17" x14ac:dyDescent="0.25">
      <c r="A210" s="1" t="s">
        <v>39</v>
      </c>
      <c r="B210" s="1" t="s">
        <v>24</v>
      </c>
      <c r="C210" s="1" t="s">
        <v>40</v>
      </c>
      <c r="D210" s="1" t="s">
        <v>260</v>
      </c>
      <c r="E210" s="1" t="s">
        <v>261</v>
      </c>
      <c r="F210" s="1" t="s">
        <v>19</v>
      </c>
      <c r="G210" s="1" t="s">
        <v>227</v>
      </c>
      <c r="H210" s="1" t="s">
        <v>222</v>
      </c>
      <c r="I210" s="1" t="s">
        <v>21</v>
      </c>
      <c r="J210" s="3">
        <v>-16</v>
      </c>
      <c r="K210" s="1" t="s">
        <v>133</v>
      </c>
      <c r="L210" s="1" t="s">
        <v>21</v>
      </c>
      <c r="M210" s="1" t="s">
        <v>21</v>
      </c>
      <c r="N210" s="1" t="s">
        <v>40</v>
      </c>
      <c r="O210" s="2">
        <v>43100</v>
      </c>
      <c r="P210" s="2">
        <v>43131</v>
      </c>
      <c r="Q210" s="1" t="s">
        <v>22</v>
      </c>
    </row>
    <row r="211" spans="1:17" x14ac:dyDescent="0.25">
      <c r="A211" s="1" t="s">
        <v>39</v>
      </c>
      <c r="B211" s="1" t="s">
        <v>24</v>
      </c>
      <c r="C211" s="1" t="s">
        <v>40</v>
      </c>
      <c r="D211" s="1" t="s">
        <v>230</v>
      </c>
      <c r="E211" s="1" t="s">
        <v>18</v>
      </c>
      <c r="F211" s="1" t="s">
        <v>19</v>
      </c>
      <c r="G211" s="1" t="s">
        <v>227</v>
      </c>
      <c r="H211" s="1" t="s">
        <v>224</v>
      </c>
      <c r="I211" s="1" t="s">
        <v>21</v>
      </c>
      <c r="J211" s="3">
        <v>-326</v>
      </c>
      <c r="K211" s="1" t="s">
        <v>63</v>
      </c>
      <c r="L211" s="1" t="s">
        <v>21</v>
      </c>
      <c r="M211" s="1" t="s">
        <v>21</v>
      </c>
      <c r="N211" s="1" t="s">
        <v>40</v>
      </c>
      <c r="O211" s="2">
        <v>43100</v>
      </c>
      <c r="P211" s="2">
        <v>43131</v>
      </c>
      <c r="Q211" s="1" t="s">
        <v>22</v>
      </c>
    </row>
    <row r="212" spans="1:17" x14ac:dyDescent="0.25">
      <c r="A212" s="1" t="s">
        <v>39</v>
      </c>
      <c r="B212" s="1" t="s">
        <v>24</v>
      </c>
      <c r="C212" s="1" t="s">
        <v>40</v>
      </c>
      <c r="D212" s="1" t="s">
        <v>252</v>
      </c>
      <c r="E212" s="1" t="s">
        <v>253</v>
      </c>
      <c r="F212" s="1" t="s">
        <v>19</v>
      </c>
      <c r="G212" s="1" t="s">
        <v>227</v>
      </c>
      <c r="H212" s="1" t="s">
        <v>222</v>
      </c>
      <c r="I212" s="1" t="s">
        <v>21</v>
      </c>
      <c r="J212" s="3">
        <v>6294</v>
      </c>
      <c r="K212" s="1" t="s">
        <v>52</v>
      </c>
      <c r="L212" s="1" t="s">
        <v>21</v>
      </c>
      <c r="M212" s="1" t="s">
        <v>21</v>
      </c>
      <c r="N212" s="1" t="s">
        <v>40</v>
      </c>
      <c r="O212" s="2">
        <v>43100</v>
      </c>
      <c r="P212" s="2">
        <v>43131</v>
      </c>
      <c r="Q212" s="1" t="s">
        <v>22</v>
      </c>
    </row>
    <row r="213" spans="1:17" x14ac:dyDescent="0.25">
      <c r="A213" s="1" t="s">
        <v>39</v>
      </c>
      <c r="B213" s="1" t="s">
        <v>24</v>
      </c>
      <c r="C213" s="1" t="s">
        <v>40</v>
      </c>
      <c r="D213" s="1" t="s">
        <v>255</v>
      </c>
      <c r="E213" s="1" t="s">
        <v>256</v>
      </c>
      <c r="F213" s="1" t="s">
        <v>19</v>
      </c>
      <c r="G213" s="1" t="s">
        <v>227</v>
      </c>
      <c r="H213" s="1" t="s">
        <v>222</v>
      </c>
      <c r="I213" s="1" t="s">
        <v>21</v>
      </c>
      <c r="J213" s="3">
        <v>-13775</v>
      </c>
      <c r="K213" s="1" t="s">
        <v>282</v>
      </c>
      <c r="L213" s="1" t="s">
        <v>21</v>
      </c>
      <c r="M213" s="1" t="s">
        <v>21</v>
      </c>
      <c r="N213" s="1" t="s">
        <v>40</v>
      </c>
      <c r="O213" s="2">
        <v>43100</v>
      </c>
      <c r="P213" s="2">
        <v>43131</v>
      </c>
      <c r="Q213" s="1" t="s">
        <v>22</v>
      </c>
    </row>
    <row r="214" spans="1:17" x14ac:dyDescent="0.25">
      <c r="A214" s="1" t="s">
        <v>39</v>
      </c>
      <c r="B214" s="1" t="s">
        <v>24</v>
      </c>
      <c r="C214" s="1" t="s">
        <v>40</v>
      </c>
      <c r="D214" s="1" t="s">
        <v>257</v>
      </c>
      <c r="E214" s="1" t="s">
        <v>241</v>
      </c>
      <c r="F214" s="1" t="s">
        <v>19</v>
      </c>
      <c r="G214" s="1" t="s">
        <v>227</v>
      </c>
      <c r="H214" s="1" t="s">
        <v>222</v>
      </c>
      <c r="I214" s="1" t="s">
        <v>21</v>
      </c>
      <c r="J214" s="3">
        <v>39368</v>
      </c>
      <c r="K214" s="1" t="s">
        <v>52</v>
      </c>
      <c r="L214" s="1" t="s">
        <v>21</v>
      </c>
      <c r="M214" s="1" t="s">
        <v>21</v>
      </c>
      <c r="N214" s="1" t="s">
        <v>40</v>
      </c>
      <c r="O214" s="2">
        <v>43100</v>
      </c>
      <c r="P214" s="2">
        <v>43131</v>
      </c>
      <c r="Q214" s="1" t="s">
        <v>22</v>
      </c>
    </row>
    <row r="215" spans="1:17" x14ac:dyDescent="0.25">
      <c r="A215" s="1" t="s">
        <v>39</v>
      </c>
      <c r="B215" s="1" t="s">
        <v>24</v>
      </c>
      <c r="C215" s="1" t="s">
        <v>40</v>
      </c>
      <c r="D215" s="1" t="s">
        <v>258</v>
      </c>
      <c r="E215" s="1" t="s">
        <v>259</v>
      </c>
      <c r="F215" s="1" t="s">
        <v>19</v>
      </c>
      <c r="G215" s="1" t="s">
        <v>227</v>
      </c>
      <c r="H215" s="1" t="s">
        <v>222</v>
      </c>
      <c r="I215" s="1" t="s">
        <v>21</v>
      </c>
      <c r="J215" s="3">
        <v>-46275</v>
      </c>
      <c r="K215" s="1" t="s">
        <v>131</v>
      </c>
      <c r="L215" s="1" t="s">
        <v>21</v>
      </c>
      <c r="M215" s="1" t="s">
        <v>21</v>
      </c>
      <c r="N215" s="1" t="s">
        <v>40</v>
      </c>
      <c r="O215" s="2">
        <v>43100</v>
      </c>
      <c r="P215" s="2">
        <v>43131</v>
      </c>
      <c r="Q215" s="1" t="s">
        <v>22</v>
      </c>
    </row>
    <row r="216" spans="1:17" x14ac:dyDescent="0.25">
      <c r="A216" s="1" t="s">
        <v>39</v>
      </c>
      <c r="B216" s="1" t="s">
        <v>24</v>
      </c>
      <c r="C216" s="1" t="s">
        <v>40</v>
      </c>
      <c r="D216" s="1" t="s">
        <v>254</v>
      </c>
      <c r="E216" s="1" t="s">
        <v>56</v>
      </c>
      <c r="F216" s="1" t="s">
        <v>19</v>
      </c>
      <c r="G216" s="1" t="s">
        <v>227</v>
      </c>
      <c r="H216" s="1" t="s">
        <v>222</v>
      </c>
      <c r="I216" s="1" t="s">
        <v>21</v>
      </c>
      <c r="J216" s="3">
        <v>13514</v>
      </c>
      <c r="K216" s="1" t="s">
        <v>52</v>
      </c>
      <c r="L216" s="1" t="s">
        <v>21</v>
      </c>
      <c r="M216" s="1" t="s">
        <v>21</v>
      </c>
      <c r="N216" s="1" t="s">
        <v>40</v>
      </c>
      <c r="O216" s="2">
        <v>43100</v>
      </c>
      <c r="P216" s="2">
        <v>43131</v>
      </c>
      <c r="Q216" s="1" t="s">
        <v>22</v>
      </c>
    </row>
    <row r="217" spans="1:17" x14ac:dyDescent="0.25">
      <c r="A217" s="1" t="s">
        <v>39</v>
      </c>
      <c r="B217" s="1" t="s">
        <v>24</v>
      </c>
      <c r="C217" s="1" t="s">
        <v>40</v>
      </c>
      <c r="D217" s="1" t="s">
        <v>254</v>
      </c>
      <c r="E217" s="1" t="s">
        <v>56</v>
      </c>
      <c r="F217" s="1" t="s">
        <v>19</v>
      </c>
      <c r="G217" s="1" t="s">
        <v>227</v>
      </c>
      <c r="H217" s="1" t="s">
        <v>222</v>
      </c>
      <c r="I217" s="1" t="s">
        <v>21</v>
      </c>
      <c r="J217" s="3">
        <v>44902</v>
      </c>
      <c r="K217" s="1" t="s">
        <v>111</v>
      </c>
      <c r="L217" s="1" t="s">
        <v>21</v>
      </c>
      <c r="M217" s="1" t="s">
        <v>21</v>
      </c>
      <c r="N217" s="1" t="s">
        <v>40</v>
      </c>
      <c r="O217" s="2">
        <v>43100</v>
      </c>
      <c r="P217" s="2">
        <v>43131</v>
      </c>
      <c r="Q217" s="1" t="s">
        <v>22</v>
      </c>
    </row>
    <row r="218" spans="1:17" x14ac:dyDescent="0.25">
      <c r="A218" s="1" t="s">
        <v>39</v>
      </c>
      <c r="B218" s="1" t="s">
        <v>24</v>
      </c>
      <c r="C218" s="1" t="s">
        <v>40</v>
      </c>
      <c r="D218" s="1" t="s">
        <v>266</v>
      </c>
      <c r="E218" s="1" t="s">
        <v>267</v>
      </c>
      <c r="F218" s="1" t="s">
        <v>19</v>
      </c>
      <c r="G218" s="1" t="s">
        <v>227</v>
      </c>
      <c r="H218" s="1" t="s">
        <v>222</v>
      </c>
      <c r="I218" s="1" t="s">
        <v>21</v>
      </c>
      <c r="J218" s="3">
        <v>259</v>
      </c>
      <c r="K218" s="1" t="s">
        <v>52</v>
      </c>
      <c r="L218" s="1" t="s">
        <v>21</v>
      </c>
      <c r="M218" s="1" t="s">
        <v>21</v>
      </c>
      <c r="N218" s="1" t="s">
        <v>40</v>
      </c>
      <c r="O218" s="2">
        <v>43100</v>
      </c>
      <c r="P218" s="2">
        <v>43131</v>
      </c>
      <c r="Q218" s="1" t="s">
        <v>22</v>
      </c>
    </row>
    <row r="219" spans="1:17" x14ac:dyDescent="0.25">
      <c r="A219" s="1" t="s">
        <v>39</v>
      </c>
      <c r="B219" s="1" t="s">
        <v>24</v>
      </c>
      <c r="C219" s="1" t="s">
        <v>40</v>
      </c>
      <c r="D219" s="1" t="s">
        <v>258</v>
      </c>
      <c r="E219" s="1" t="s">
        <v>259</v>
      </c>
      <c r="F219" s="1" t="s">
        <v>19</v>
      </c>
      <c r="G219" s="1" t="s">
        <v>227</v>
      </c>
      <c r="H219" s="1" t="s">
        <v>222</v>
      </c>
      <c r="I219" s="1" t="s">
        <v>21</v>
      </c>
      <c r="J219" s="3">
        <v>6982</v>
      </c>
      <c r="K219" s="1" t="s">
        <v>52</v>
      </c>
      <c r="L219" s="1" t="s">
        <v>21</v>
      </c>
      <c r="M219" s="1" t="s">
        <v>21</v>
      </c>
      <c r="N219" s="1" t="s">
        <v>40</v>
      </c>
      <c r="O219" s="2">
        <v>43100</v>
      </c>
      <c r="P219" s="2">
        <v>43131</v>
      </c>
      <c r="Q219" s="1" t="s">
        <v>22</v>
      </c>
    </row>
    <row r="220" spans="1:17" x14ac:dyDescent="0.25">
      <c r="A220" s="1" t="s">
        <v>39</v>
      </c>
      <c r="B220" s="1" t="s">
        <v>24</v>
      </c>
      <c r="C220" s="1" t="s">
        <v>40</v>
      </c>
      <c r="D220" s="1" t="s">
        <v>228</v>
      </c>
      <c r="E220" s="1" t="s">
        <v>30</v>
      </c>
      <c r="F220" s="1" t="s">
        <v>19</v>
      </c>
      <c r="G220" s="1" t="s">
        <v>227</v>
      </c>
      <c r="H220" s="1" t="s">
        <v>222</v>
      </c>
      <c r="I220" s="1" t="s">
        <v>21</v>
      </c>
      <c r="J220" s="3">
        <v>9677</v>
      </c>
      <c r="K220" s="1" t="s">
        <v>52</v>
      </c>
      <c r="L220" s="1" t="s">
        <v>21</v>
      </c>
      <c r="M220" s="1" t="s">
        <v>21</v>
      </c>
      <c r="N220" s="1" t="s">
        <v>40</v>
      </c>
      <c r="O220" s="2">
        <v>43100</v>
      </c>
      <c r="P220" s="2">
        <v>43131</v>
      </c>
      <c r="Q220" s="1" t="s">
        <v>22</v>
      </c>
    </row>
    <row r="221" spans="1:17" x14ac:dyDescent="0.25">
      <c r="A221" s="1" t="s">
        <v>39</v>
      </c>
      <c r="B221" s="1" t="s">
        <v>24</v>
      </c>
      <c r="C221" s="1" t="s">
        <v>40</v>
      </c>
      <c r="D221" s="1" t="s">
        <v>228</v>
      </c>
      <c r="E221" s="1" t="s">
        <v>30</v>
      </c>
      <c r="F221" s="1" t="s">
        <v>19</v>
      </c>
      <c r="G221" s="1" t="s">
        <v>227</v>
      </c>
      <c r="H221" s="1" t="s">
        <v>222</v>
      </c>
      <c r="I221" s="1" t="s">
        <v>21</v>
      </c>
      <c r="J221" s="3">
        <v>24684</v>
      </c>
      <c r="K221" s="1" t="s">
        <v>111</v>
      </c>
      <c r="L221" s="1" t="s">
        <v>21</v>
      </c>
      <c r="M221" s="1" t="s">
        <v>21</v>
      </c>
      <c r="N221" s="1" t="s">
        <v>40</v>
      </c>
      <c r="O221" s="2">
        <v>43100</v>
      </c>
      <c r="P221" s="2">
        <v>43131</v>
      </c>
      <c r="Q221" s="1" t="s">
        <v>22</v>
      </c>
    </row>
    <row r="222" spans="1:17" x14ac:dyDescent="0.25">
      <c r="A222" s="1" t="s">
        <v>39</v>
      </c>
      <c r="B222" s="1" t="s">
        <v>24</v>
      </c>
      <c r="C222" s="1" t="s">
        <v>40</v>
      </c>
      <c r="D222" s="1" t="s">
        <v>252</v>
      </c>
      <c r="E222" s="1" t="s">
        <v>253</v>
      </c>
      <c r="F222" s="1" t="s">
        <v>19</v>
      </c>
      <c r="G222" s="1" t="s">
        <v>227</v>
      </c>
      <c r="H222" s="1" t="s">
        <v>222</v>
      </c>
      <c r="I222" s="1" t="s">
        <v>21</v>
      </c>
      <c r="J222" s="3">
        <v>35201</v>
      </c>
      <c r="K222" s="1" t="s">
        <v>111</v>
      </c>
      <c r="L222" s="1" t="s">
        <v>21</v>
      </c>
      <c r="M222" s="1" t="s">
        <v>21</v>
      </c>
      <c r="N222" s="1" t="s">
        <v>40</v>
      </c>
      <c r="O222" s="2">
        <v>43100</v>
      </c>
      <c r="P222" s="2">
        <v>43131</v>
      </c>
      <c r="Q222" s="1" t="s">
        <v>22</v>
      </c>
    </row>
    <row r="223" spans="1:17" x14ac:dyDescent="0.25">
      <c r="A223" s="1" t="s">
        <v>39</v>
      </c>
      <c r="B223" s="1" t="s">
        <v>24</v>
      </c>
      <c r="C223" s="1" t="s">
        <v>40</v>
      </c>
      <c r="D223" s="1" t="s">
        <v>262</v>
      </c>
      <c r="E223" s="1" t="s">
        <v>240</v>
      </c>
      <c r="F223" s="1" t="s">
        <v>19</v>
      </c>
      <c r="G223" s="1" t="s">
        <v>227</v>
      </c>
      <c r="H223" s="1" t="s">
        <v>222</v>
      </c>
      <c r="I223" s="1" t="s">
        <v>21</v>
      </c>
      <c r="J223" s="3">
        <v>957</v>
      </c>
      <c r="K223" s="1" t="s">
        <v>251</v>
      </c>
      <c r="L223" s="1" t="s">
        <v>21</v>
      </c>
      <c r="M223" s="1" t="s">
        <v>21</v>
      </c>
      <c r="N223" s="1" t="s">
        <v>40</v>
      </c>
      <c r="O223" s="2">
        <v>43100</v>
      </c>
      <c r="P223" s="2">
        <v>43131</v>
      </c>
      <c r="Q223" s="1" t="s">
        <v>22</v>
      </c>
    </row>
    <row r="224" spans="1:17" x14ac:dyDescent="0.25">
      <c r="A224" s="1" t="s">
        <v>39</v>
      </c>
      <c r="B224" s="1" t="s">
        <v>24</v>
      </c>
      <c r="C224" s="1" t="s">
        <v>40</v>
      </c>
      <c r="D224" s="1" t="s">
        <v>258</v>
      </c>
      <c r="E224" s="1" t="s">
        <v>259</v>
      </c>
      <c r="F224" s="1" t="s">
        <v>19</v>
      </c>
      <c r="G224" s="1" t="s">
        <v>227</v>
      </c>
      <c r="H224" s="1" t="s">
        <v>222</v>
      </c>
      <c r="I224" s="1" t="s">
        <v>21</v>
      </c>
      <c r="J224" s="3">
        <v>61089</v>
      </c>
      <c r="K224" s="1" t="s">
        <v>131</v>
      </c>
      <c r="L224" s="1" t="s">
        <v>21</v>
      </c>
      <c r="M224" s="1" t="s">
        <v>21</v>
      </c>
      <c r="N224" s="1" t="s">
        <v>40</v>
      </c>
      <c r="O224" s="2">
        <v>43100</v>
      </c>
      <c r="P224" s="2">
        <v>43131</v>
      </c>
      <c r="Q224" s="1" t="s">
        <v>22</v>
      </c>
    </row>
    <row r="225" spans="1:17" x14ac:dyDescent="0.25">
      <c r="A225" s="1" t="s">
        <v>39</v>
      </c>
      <c r="B225" s="1" t="s">
        <v>24</v>
      </c>
      <c r="C225" s="1" t="s">
        <v>40</v>
      </c>
      <c r="D225" s="1" t="s">
        <v>258</v>
      </c>
      <c r="E225" s="1" t="s">
        <v>259</v>
      </c>
      <c r="F225" s="1" t="s">
        <v>19</v>
      </c>
      <c r="G225" s="1" t="s">
        <v>227</v>
      </c>
      <c r="H225" s="1" t="s">
        <v>222</v>
      </c>
      <c r="I225" s="1" t="s">
        <v>21</v>
      </c>
      <c r="J225" s="3">
        <v>9801</v>
      </c>
      <c r="K225" s="1" t="s">
        <v>52</v>
      </c>
      <c r="L225" s="1" t="s">
        <v>21</v>
      </c>
      <c r="M225" s="1" t="s">
        <v>21</v>
      </c>
      <c r="N225" s="1" t="s">
        <v>40</v>
      </c>
      <c r="O225" s="2">
        <v>43100</v>
      </c>
      <c r="P225" s="2">
        <v>43131</v>
      </c>
      <c r="Q225" s="1" t="s">
        <v>22</v>
      </c>
    </row>
    <row r="226" spans="1:17" x14ac:dyDescent="0.25">
      <c r="A226" s="1" t="s">
        <v>39</v>
      </c>
      <c r="B226" s="1" t="s">
        <v>24</v>
      </c>
      <c r="C226" s="1" t="s">
        <v>40</v>
      </c>
      <c r="D226" s="1" t="s">
        <v>258</v>
      </c>
      <c r="E226" s="1" t="s">
        <v>259</v>
      </c>
      <c r="F226" s="1" t="s">
        <v>19</v>
      </c>
      <c r="G226" s="1" t="s">
        <v>227</v>
      </c>
      <c r="H226" s="1" t="s">
        <v>222</v>
      </c>
      <c r="I226" s="1" t="s">
        <v>21</v>
      </c>
      <c r="J226" s="3">
        <v>38565</v>
      </c>
      <c r="K226" s="1" t="s">
        <v>251</v>
      </c>
      <c r="L226" s="1" t="s">
        <v>21</v>
      </c>
      <c r="M226" s="1" t="s">
        <v>21</v>
      </c>
      <c r="N226" s="1" t="s">
        <v>40</v>
      </c>
      <c r="O226" s="2">
        <v>43100</v>
      </c>
      <c r="P226" s="2">
        <v>43131</v>
      </c>
      <c r="Q226" s="1" t="s">
        <v>22</v>
      </c>
    </row>
    <row r="227" spans="1:17" x14ac:dyDescent="0.25">
      <c r="A227" s="1" t="s">
        <v>39</v>
      </c>
      <c r="B227" s="1" t="s">
        <v>24</v>
      </c>
      <c r="C227" s="1" t="s">
        <v>40</v>
      </c>
      <c r="D227" s="1" t="s">
        <v>229</v>
      </c>
      <c r="E227" s="1" t="s">
        <v>18</v>
      </c>
      <c r="F227" s="1" t="s">
        <v>19</v>
      </c>
      <c r="G227" s="1" t="s">
        <v>227</v>
      </c>
      <c r="H227" s="1" t="s">
        <v>222</v>
      </c>
      <c r="I227" s="1" t="s">
        <v>21</v>
      </c>
      <c r="J227" s="3">
        <v>4931</v>
      </c>
      <c r="K227" s="1" t="s">
        <v>52</v>
      </c>
      <c r="L227" s="1" t="s">
        <v>21</v>
      </c>
      <c r="M227" s="1" t="s">
        <v>21</v>
      </c>
      <c r="N227" s="1" t="s">
        <v>40</v>
      </c>
      <c r="O227" s="2">
        <v>43100</v>
      </c>
      <c r="P227" s="2">
        <v>43131</v>
      </c>
      <c r="Q227" s="1" t="s">
        <v>22</v>
      </c>
    </row>
    <row r="228" spans="1:17" x14ac:dyDescent="0.25">
      <c r="A228" s="1" t="s">
        <v>39</v>
      </c>
      <c r="B228" s="1" t="s">
        <v>24</v>
      </c>
      <c r="C228" s="1" t="s">
        <v>40</v>
      </c>
      <c r="D228" s="1" t="s">
        <v>252</v>
      </c>
      <c r="E228" s="1" t="s">
        <v>253</v>
      </c>
      <c r="F228" s="1" t="s">
        <v>19</v>
      </c>
      <c r="G228" s="1" t="s">
        <v>227</v>
      </c>
      <c r="H228" s="1" t="s">
        <v>222</v>
      </c>
      <c r="I228" s="1" t="s">
        <v>21</v>
      </c>
      <c r="J228" s="3">
        <v>50383</v>
      </c>
      <c r="K228" s="1" t="s">
        <v>131</v>
      </c>
      <c r="L228" s="1" t="s">
        <v>21</v>
      </c>
      <c r="M228" s="1" t="s">
        <v>21</v>
      </c>
      <c r="N228" s="1" t="s">
        <v>40</v>
      </c>
      <c r="O228" s="2">
        <v>43100</v>
      </c>
      <c r="P228" s="2">
        <v>43131</v>
      </c>
      <c r="Q228" s="1" t="s">
        <v>22</v>
      </c>
    </row>
    <row r="229" spans="1:17" x14ac:dyDescent="0.25">
      <c r="A229" s="1" t="s">
        <v>39</v>
      </c>
      <c r="B229" s="1" t="s">
        <v>24</v>
      </c>
      <c r="C229" s="1" t="s">
        <v>40</v>
      </c>
      <c r="D229" s="1" t="s">
        <v>254</v>
      </c>
      <c r="E229" s="1" t="s">
        <v>56</v>
      </c>
      <c r="F229" s="1" t="s">
        <v>19</v>
      </c>
      <c r="G229" s="1" t="s">
        <v>227</v>
      </c>
      <c r="H229" s="1" t="s">
        <v>222</v>
      </c>
      <c r="I229" s="1" t="s">
        <v>21</v>
      </c>
      <c r="J229" s="3">
        <v>87035</v>
      </c>
      <c r="K229" s="1" t="s">
        <v>131</v>
      </c>
      <c r="L229" s="1" t="s">
        <v>21</v>
      </c>
      <c r="M229" s="1" t="s">
        <v>21</v>
      </c>
      <c r="N229" s="1" t="s">
        <v>40</v>
      </c>
      <c r="O229" s="2">
        <v>43100</v>
      </c>
      <c r="P229" s="2">
        <v>43131</v>
      </c>
      <c r="Q229" s="1" t="s">
        <v>22</v>
      </c>
    </row>
    <row r="230" spans="1:17" x14ac:dyDescent="0.25">
      <c r="A230" s="1" t="s">
        <v>39</v>
      </c>
      <c r="B230" s="1" t="s">
        <v>24</v>
      </c>
      <c r="C230" s="1" t="s">
        <v>40</v>
      </c>
      <c r="D230" s="1" t="s">
        <v>257</v>
      </c>
      <c r="E230" s="1" t="s">
        <v>241</v>
      </c>
      <c r="F230" s="1" t="s">
        <v>19</v>
      </c>
      <c r="G230" s="1" t="s">
        <v>227</v>
      </c>
      <c r="H230" s="1" t="s">
        <v>222</v>
      </c>
      <c r="I230" s="1" t="s">
        <v>21</v>
      </c>
      <c r="J230" s="3">
        <v>-75803</v>
      </c>
      <c r="K230" s="1" t="s">
        <v>251</v>
      </c>
      <c r="L230" s="1" t="s">
        <v>21</v>
      </c>
      <c r="M230" s="1" t="s">
        <v>21</v>
      </c>
      <c r="N230" s="1" t="s">
        <v>40</v>
      </c>
      <c r="O230" s="2">
        <v>43100</v>
      </c>
      <c r="P230" s="2">
        <v>43131</v>
      </c>
      <c r="Q230" s="1" t="s">
        <v>22</v>
      </c>
    </row>
    <row r="231" spans="1:17" x14ac:dyDescent="0.25">
      <c r="A231" s="1" t="s">
        <v>39</v>
      </c>
      <c r="B231" s="1" t="s">
        <v>24</v>
      </c>
      <c r="C231" s="1" t="s">
        <v>40</v>
      </c>
      <c r="D231" s="1" t="s">
        <v>257</v>
      </c>
      <c r="E231" s="1" t="s">
        <v>241</v>
      </c>
      <c r="F231" s="1" t="s">
        <v>19</v>
      </c>
      <c r="G231" s="1" t="s">
        <v>227</v>
      </c>
      <c r="H231" s="1" t="s">
        <v>222</v>
      </c>
      <c r="I231" s="1" t="s">
        <v>21</v>
      </c>
      <c r="J231" s="3">
        <v>31361</v>
      </c>
      <c r="K231" s="1" t="s">
        <v>251</v>
      </c>
      <c r="L231" s="1" t="s">
        <v>21</v>
      </c>
      <c r="M231" s="1" t="s">
        <v>21</v>
      </c>
      <c r="N231" s="1" t="s">
        <v>40</v>
      </c>
      <c r="O231" s="2">
        <v>43100</v>
      </c>
      <c r="P231" s="2">
        <v>43131</v>
      </c>
      <c r="Q231" s="1" t="s">
        <v>22</v>
      </c>
    </row>
    <row r="232" spans="1:17" x14ac:dyDescent="0.25">
      <c r="A232" s="1" t="s">
        <v>39</v>
      </c>
      <c r="B232" s="1" t="s">
        <v>24</v>
      </c>
      <c r="C232" s="1" t="s">
        <v>40</v>
      </c>
      <c r="D232" s="1" t="s">
        <v>257</v>
      </c>
      <c r="E232" s="1" t="s">
        <v>241</v>
      </c>
      <c r="F232" s="1" t="s">
        <v>19</v>
      </c>
      <c r="G232" s="1" t="s">
        <v>227</v>
      </c>
      <c r="H232" s="1" t="s">
        <v>222</v>
      </c>
      <c r="I232" s="1" t="s">
        <v>21</v>
      </c>
      <c r="J232" s="3">
        <v>-41868</v>
      </c>
      <c r="K232" s="1" t="s">
        <v>131</v>
      </c>
      <c r="L232" s="1" t="s">
        <v>21</v>
      </c>
      <c r="M232" s="1" t="s">
        <v>21</v>
      </c>
      <c r="N232" s="1" t="s">
        <v>40</v>
      </c>
      <c r="O232" s="2">
        <v>43100</v>
      </c>
      <c r="P232" s="2">
        <v>43131</v>
      </c>
      <c r="Q232" s="1" t="s">
        <v>22</v>
      </c>
    </row>
    <row r="233" spans="1:17" x14ac:dyDescent="0.25">
      <c r="A233" s="1" t="s">
        <v>39</v>
      </c>
      <c r="B233" s="1" t="s">
        <v>24</v>
      </c>
      <c r="C233" s="1" t="s">
        <v>40</v>
      </c>
      <c r="D233" s="1" t="s">
        <v>228</v>
      </c>
      <c r="E233" s="1" t="s">
        <v>30</v>
      </c>
      <c r="F233" s="1" t="s">
        <v>19</v>
      </c>
      <c r="G233" s="1" t="s">
        <v>227</v>
      </c>
      <c r="H233" s="1" t="s">
        <v>222</v>
      </c>
      <c r="I233" s="1" t="s">
        <v>21</v>
      </c>
      <c r="J233" s="3">
        <v>56696</v>
      </c>
      <c r="K233" s="1" t="s">
        <v>131</v>
      </c>
      <c r="L233" s="1" t="s">
        <v>21</v>
      </c>
      <c r="M233" s="1" t="s">
        <v>21</v>
      </c>
      <c r="N233" s="1" t="s">
        <v>40</v>
      </c>
      <c r="O233" s="2">
        <v>43100</v>
      </c>
      <c r="P233" s="2">
        <v>43131</v>
      </c>
      <c r="Q233" s="1" t="s">
        <v>22</v>
      </c>
    </row>
    <row r="234" spans="1:17" x14ac:dyDescent="0.25">
      <c r="A234" s="1" t="s">
        <v>39</v>
      </c>
      <c r="B234" s="1" t="s">
        <v>24</v>
      </c>
      <c r="C234" s="1" t="s">
        <v>40</v>
      </c>
      <c r="D234" s="1" t="s">
        <v>255</v>
      </c>
      <c r="E234" s="1" t="s">
        <v>256</v>
      </c>
      <c r="F234" s="1" t="s">
        <v>19</v>
      </c>
      <c r="G234" s="1" t="s">
        <v>227</v>
      </c>
      <c r="H234" s="1" t="s">
        <v>222</v>
      </c>
      <c r="I234" s="1" t="s">
        <v>21</v>
      </c>
      <c r="J234" s="3">
        <v>139726</v>
      </c>
      <c r="K234" s="1" t="s">
        <v>131</v>
      </c>
      <c r="L234" s="1" t="s">
        <v>21</v>
      </c>
      <c r="M234" s="1" t="s">
        <v>21</v>
      </c>
      <c r="N234" s="1" t="s">
        <v>40</v>
      </c>
      <c r="O234" s="2">
        <v>43100</v>
      </c>
      <c r="P234" s="2">
        <v>43131</v>
      </c>
      <c r="Q234" s="1" t="s">
        <v>22</v>
      </c>
    </row>
    <row r="235" spans="1:17" x14ac:dyDescent="0.25">
      <c r="A235" s="1" t="s">
        <v>39</v>
      </c>
      <c r="B235" s="1" t="s">
        <v>24</v>
      </c>
      <c r="C235" s="1" t="s">
        <v>40</v>
      </c>
      <c r="D235" s="1" t="s">
        <v>262</v>
      </c>
      <c r="E235" s="1" t="s">
        <v>240</v>
      </c>
      <c r="F235" s="1" t="s">
        <v>19</v>
      </c>
      <c r="G235" s="1" t="s">
        <v>227</v>
      </c>
      <c r="H235" s="1" t="s">
        <v>222</v>
      </c>
      <c r="I235" s="1" t="s">
        <v>21</v>
      </c>
      <c r="J235" s="3">
        <v>49659</v>
      </c>
      <c r="K235" s="1" t="s">
        <v>244</v>
      </c>
      <c r="L235" s="1" t="s">
        <v>21</v>
      </c>
      <c r="M235" s="1" t="s">
        <v>21</v>
      </c>
      <c r="N235" s="1" t="s">
        <v>40</v>
      </c>
      <c r="O235" s="2">
        <v>43100</v>
      </c>
      <c r="P235" s="2">
        <v>43131</v>
      </c>
      <c r="Q235" s="1" t="s">
        <v>22</v>
      </c>
    </row>
    <row r="236" spans="1:17" x14ac:dyDescent="0.25">
      <c r="A236" s="1" t="s">
        <v>39</v>
      </c>
      <c r="B236" s="1" t="s">
        <v>24</v>
      </c>
      <c r="C236" s="1" t="s">
        <v>40</v>
      </c>
      <c r="D236" s="1" t="s">
        <v>257</v>
      </c>
      <c r="E236" s="1" t="s">
        <v>241</v>
      </c>
      <c r="F236" s="1" t="s">
        <v>19</v>
      </c>
      <c r="G236" s="1" t="s">
        <v>227</v>
      </c>
      <c r="H236" s="1" t="s">
        <v>222</v>
      </c>
      <c r="I236" s="1" t="s">
        <v>21</v>
      </c>
      <c r="J236" s="3">
        <v>-26673</v>
      </c>
      <c r="K236" s="1" t="s">
        <v>52</v>
      </c>
      <c r="L236" s="1" t="s">
        <v>21</v>
      </c>
      <c r="M236" s="1" t="s">
        <v>21</v>
      </c>
      <c r="N236" s="1" t="s">
        <v>40</v>
      </c>
      <c r="O236" s="2">
        <v>43100</v>
      </c>
      <c r="P236" s="2">
        <v>43131</v>
      </c>
      <c r="Q236" s="1" t="s">
        <v>22</v>
      </c>
    </row>
    <row r="237" spans="1:17" x14ac:dyDescent="0.25">
      <c r="A237" s="1" t="s">
        <v>39</v>
      </c>
      <c r="B237" s="1" t="s">
        <v>24</v>
      </c>
      <c r="C237" s="1" t="s">
        <v>40</v>
      </c>
      <c r="D237" s="1" t="s">
        <v>258</v>
      </c>
      <c r="E237" s="1" t="s">
        <v>259</v>
      </c>
      <c r="F237" s="1" t="s">
        <v>19</v>
      </c>
      <c r="G237" s="1" t="s">
        <v>227</v>
      </c>
      <c r="H237" s="1" t="s">
        <v>222</v>
      </c>
      <c r="I237" s="1" t="s">
        <v>21</v>
      </c>
      <c r="J237" s="3">
        <v>-27027</v>
      </c>
      <c r="K237" s="1" t="s">
        <v>251</v>
      </c>
      <c r="L237" s="1" t="s">
        <v>21</v>
      </c>
      <c r="M237" s="1" t="s">
        <v>21</v>
      </c>
      <c r="N237" s="1" t="s">
        <v>40</v>
      </c>
      <c r="O237" s="2">
        <v>43100</v>
      </c>
      <c r="P237" s="2">
        <v>43131</v>
      </c>
      <c r="Q237" s="1" t="s">
        <v>22</v>
      </c>
    </row>
    <row r="238" spans="1:17" x14ac:dyDescent="0.25">
      <c r="A238" s="1" t="s">
        <v>39</v>
      </c>
      <c r="B238" s="1" t="s">
        <v>24</v>
      </c>
      <c r="C238" s="1" t="s">
        <v>40</v>
      </c>
      <c r="D238" s="1" t="s">
        <v>258</v>
      </c>
      <c r="E238" s="1" t="s">
        <v>259</v>
      </c>
      <c r="F238" s="1" t="s">
        <v>19</v>
      </c>
      <c r="G238" s="1" t="s">
        <v>227</v>
      </c>
      <c r="H238" s="1" t="s">
        <v>222</v>
      </c>
      <c r="I238" s="1" t="s">
        <v>21</v>
      </c>
      <c r="J238" s="3">
        <v>-94754</v>
      </c>
      <c r="K238" s="1" t="s">
        <v>131</v>
      </c>
      <c r="L238" s="1" t="s">
        <v>21</v>
      </c>
      <c r="M238" s="1" t="s">
        <v>21</v>
      </c>
      <c r="N238" s="1" t="s">
        <v>40</v>
      </c>
      <c r="O238" s="2">
        <v>43100</v>
      </c>
      <c r="P238" s="2">
        <v>43131</v>
      </c>
      <c r="Q238" s="1" t="s">
        <v>22</v>
      </c>
    </row>
    <row r="239" spans="1:17" x14ac:dyDescent="0.25">
      <c r="A239" s="1" t="s">
        <v>39</v>
      </c>
      <c r="B239" s="1" t="s">
        <v>24</v>
      </c>
      <c r="C239" s="1" t="s">
        <v>40</v>
      </c>
      <c r="D239" s="1" t="s">
        <v>260</v>
      </c>
      <c r="E239" s="1" t="s">
        <v>261</v>
      </c>
      <c r="F239" s="1" t="s">
        <v>19</v>
      </c>
      <c r="G239" s="1" t="s">
        <v>227</v>
      </c>
      <c r="H239" s="1" t="s">
        <v>222</v>
      </c>
      <c r="I239" s="1" t="s">
        <v>21</v>
      </c>
      <c r="J239" s="3">
        <v>242</v>
      </c>
      <c r="K239" s="1" t="s">
        <v>52</v>
      </c>
      <c r="L239" s="1" t="s">
        <v>21</v>
      </c>
      <c r="M239" s="1" t="s">
        <v>21</v>
      </c>
      <c r="N239" s="1" t="s">
        <v>40</v>
      </c>
      <c r="O239" s="2">
        <v>43100</v>
      </c>
      <c r="P239" s="2">
        <v>43131</v>
      </c>
      <c r="Q239" s="1" t="s">
        <v>22</v>
      </c>
    </row>
    <row r="240" spans="1:17" x14ac:dyDescent="0.25">
      <c r="A240" s="1" t="s">
        <v>39</v>
      </c>
      <c r="B240" s="1" t="s">
        <v>24</v>
      </c>
      <c r="C240" s="1" t="s">
        <v>40</v>
      </c>
      <c r="D240" s="1" t="s">
        <v>255</v>
      </c>
      <c r="E240" s="1" t="s">
        <v>256</v>
      </c>
      <c r="F240" s="1" t="s">
        <v>19</v>
      </c>
      <c r="G240" s="1" t="s">
        <v>227</v>
      </c>
      <c r="H240" s="1" t="s">
        <v>222</v>
      </c>
      <c r="I240" s="1" t="s">
        <v>21</v>
      </c>
      <c r="J240" s="3">
        <v>223689</v>
      </c>
      <c r="K240" s="1" t="s">
        <v>111</v>
      </c>
      <c r="L240" s="1" t="s">
        <v>21</v>
      </c>
      <c r="M240" s="1" t="s">
        <v>21</v>
      </c>
      <c r="N240" s="1" t="s">
        <v>40</v>
      </c>
      <c r="O240" s="2">
        <v>43100</v>
      </c>
      <c r="P240" s="2">
        <v>43131</v>
      </c>
      <c r="Q240" s="1" t="s">
        <v>22</v>
      </c>
    </row>
    <row r="241" spans="1:17" x14ac:dyDescent="0.25">
      <c r="A241" s="1" t="s">
        <v>39</v>
      </c>
      <c r="B241" s="1" t="s">
        <v>24</v>
      </c>
      <c r="C241" s="1" t="s">
        <v>40</v>
      </c>
      <c r="D241" s="1" t="s">
        <v>257</v>
      </c>
      <c r="E241" s="1" t="s">
        <v>241</v>
      </c>
      <c r="F241" s="1" t="s">
        <v>19</v>
      </c>
      <c r="G241" s="1" t="s">
        <v>227</v>
      </c>
      <c r="H241" s="1" t="s">
        <v>222</v>
      </c>
      <c r="I241" s="1" t="s">
        <v>21</v>
      </c>
      <c r="J241" s="3">
        <v>8887</v>
      </c>
      <c r="K241" s="1" t="s">
        <v>52</v>
      </c>
      <c r="L241" s="1" t="s">
        <v>21</v>
      </c>
      <c r="M241" s="1" t="s">
        <v>21</v>
      </c>
      <c r="N241" s="1" t="s">
        <v>40</v>
      </c>
      <c r="O241" s="2">
        <v>43100</v>
      </c>
      <c r="P241" s="2">
        <v>43131</v>
      </c>
      <c r="Q241" s="1" t="s">
        <v>22</v>
      </c>
    </row>
    <row r="242" spans="1:17" x14ac:dyDescent="0.25">
      <c r="A242" s="1" t="s">
        <v>39</v>
      </c>
      <c r="B242" s="1" t="s">
        <v>24</v>
      </c>
      <c r="C242" s="1" t="s">
        <v>40</v>
      </c>
      <c r="D242" s="1" t="s">
        <v>258</v>
      </c>
      <c r="E242" s="1" t="s">
        <v>259</v>
      </c>
      <c r="F242" s="1" t="s">
        <v>19</v>
      </c>
      <c r="G242" s="1" t="s">
        <v>227</v>
      </c>
      <c r="H242" s="1" t="s">
        <v>222</v>
      </c>
      <c r="I242" s="1" t="s">
        <v>21</v>
      </c>
      <c r="J242" s="3">
        <v>859</v>
      </c>
      <c r="K242" s="1" t="s">
        <v>52</v>
      </c>
      <c r="L242" s="1" t="s">
        <v>21</v>
      </c>
      <c r="M242" s="1" t="s">
        <v>21</v>
      </c>
      <c r="N242" s="1" t="s">
        <v>40</v>
      </c>
      <c r="O242" s="2">
        <v>43100</v>
      </c>
      <c r="P242" s="2">
        <v>43131</v>
      </c>
      <c r="Q242" s="1" t="s">
        <v>22</v>
      </c>
    </row>
    <row r="243" spans="1:17" x14ac:dyDescent="0.25">
      <c r="A243" s="1" t="s">
        <v>39</v>
      </c>
      <c r="B243" s="1" t="s">
        <v>24</v>
      </c>
      <c r="C243" s="1" t="s">
        <v>40</v>
      </c>
      <c r="D243" s="1" t="s">
        <v>229</v>
      </c>
      <c r="E243" s="1" t="s">
        <v>18</v>
      </c>
      <c r="F243" s="1" t="s">
        <v>19</v>
      </c>
      <c r="G243" s="1" t="s">
        <v>227</v>
      </c>
      <c r="H243" s="1" t="s">
        <v>222</v>
      </c>
      <c r="I243" s="1" t="s">
        <v>21</v>
      </c>
      <c r="J243" s="3">
        <v>-1288459</v>
      </c>
      <c r="K243" s="1" t="s">
        <v>57</v>
      </c>
      <c r="L243" s="1" t="s">
        <v>21</v>
      </c>
      <c r="M243" s="1" t="s">
        <v>21</v>
      </c>
      <c r="N243" s="1" t="s">
        <v>40</v>
      </c>
      <c r="O243" s="2">
        <v>43100</v>
      </c>
      <c r="P243" s="2">
        <v>43131</v>
      </c>
      <c r="Q243" s="1" t="s">
        <v>22</v>
      </c>
    </row>
    <row r="244" spans="1:17" x14ac:dyDescent="0.25">
      <c r="A244" s="1" t="s">
        <v>39</v>
      </c>
      <c r="B244" s="1" t="s">
        <v>24</v>
      </c>
      <c r="C244" s="1" t="s">
        <v>40</v>
      </c>
      <c r="D244" s="1" t="s">
        <v>252</v>
      </c>
      <c r="E244" s="1" t="s">
        <v>253</v>
      </c>
      <c r="F244" s="1" t="s">
        <v>19</v>
      </c>
      <c r="G244" s="1" t="s">
        <v>227</v>
      </c>
      <c r="H244" s="1" t="s">
        <v>222</v>
      </c>
      <c r="I244" s="1" t="s">
        <v>21</v>
      </c>
      <c r="J244" s="3">
        <v>8163</v>
      </c>
      <c r="K244" s="1" t="s">
        <v>283</v>
      </c>
      <c r="L244" s="1" t="s">
        <v>21</v>
      </c>
      <c r="M244" s="1" t="s">
        <v>21</v>
      </c>
      <c r="N244" s="1" t="s">
        <v>40</v>
      </c>
      <c r="O244" s="2">
        <v>43100</v>
      </c>
      <c r="P244" s="2">
        <v>43131</v>
      </c>
      <c r="Q244" s="1" t="s">
        <v>22</v>
      </c>
    </row>
    <row r="245" spans="1:17" x14ac:dyDescent="0.25">
      <c r="A245" s="1" t="s">
        <v>39</v>
      </c>
      <c r="B245" s="1" t="s">
        <v>24</v>
      </c>
      <c r="C245" s="1" t="s">
        <v>40</v>
      </c>
      <c r="D245" s="1" t="s">
        <v>262</v>
      </c>
      <c r="E245" s="1" t="s">
        <v>240</v>
      </c>
      <c r="F245" s="1" t="s">
        <v>19</v>
      </c>
      <c r="G245" s="1" t="s">
        <v>227</v>
      </c>
      <c r="H245" s="1" t="s">
        <v>222</v>
      </c>
      <c r="I245" s="1" t="s">
        <v>21</v>
      </c>
      <c r="J245" s="3">
        <v>439482</v>
      </c>
      <c r="K245" s="1" t="s">
        <v>131</v>
      </c>
      <c r="L245" s="1" t="s">
        <v>21</v>
      </c>
      <c r="M245" s="1" t="s">
        <v>21</v>
      </c>
      <c r="N245" s="1" t="s">
        <v>40</v>
      </c>
      <c r="O245" s="2">
        <v>43100</v>
      </c>
      <c r="P245" s="2">
        <v>43131</v>
      </c>
      <c r="Q245" s="1" t="s">
        <v>22</v>
      </c>
    </row>
    <row r="246" spans="1:17" x14ac:dyDescent="0.25">
      <c r="A246" s="1" t="s">
        <v>39</v>
      </c>
      <c r="B246" s="1" t="s">
        <v>24</v>
      </c>
      <c r="C246" s="1" t="s">
        <v>40</v>
      </c>
      <c r="D246" s="1" t="s">
        <v>257</v>
      </c>
      <c r="E246" s="1" t="s">
        <v>241</v>
      </c>
      <c r="F246" s="1" t="s">
        <v>19</v>
      </c>
      <c r="G246" s="1" t="s">
        <v>227</v>
      </c>
      <c r="H246" s="1" t="s">
        <v>222</v>
      </c>
      <c r="I246" s="1" t="s">
        <v>21</v>
      </c>
      <c r="J246" s="3">
        <v>-37461</v>
      </c>
      <c r="K246" s="1" t="s">
        <v>131</v>
      </c>
      <c r="L246" s="1" t="s">
        <v>21</v>
      </c>
      <c r="M246" s="1" t="s">
        <v>21</v>
      </c>
      <c r="N246" s="1" t="s">
        <v>40</v>
      </c>
      <c r="O246" s="2">
        <v>43100</v>
      </c>
      <c r="P246" s="2">
        <v>43131</v>
      </c>
      <c r="Q246" s="1" t="s">
        <v>22</v>
      </c>
    </row>
    <row r="247" spans="1:17" x14ac:dyDescent="0.25">
      <c r="A247" s="1" t="s">
        <v>39</v>
      </c>
      <c r="B247" s="1" t="s">
        <v>24</v>
      </c>
      <c r="C247" s="1" t="s">
        <v>40</v>
      </c>
      <c r="D247" s="1" t="s">
        <v>258</v>
      </c>
      <c r="E247" s="1" t="s">
        <v>259</v>
      </c>
      <c r="F247" s="1" t="s">
        <v>19</v>
      </c>
      <c r="G247" s="1" t="s">
        <v>227</v>
      </c>
      <c r="H247" s="1" t="s">
        <v>222</v>
      </c>
      <c r="I247" s="1" t="s">
        <v>21</v>
      </c>
      <c r="J247" s="3">
        <v>77060</v>
      </c>
      <c r="K247" s="1" t="s">
        <v>251</v>
      </c>
      <c r="L247" s="1" t="s">
        <v>21</v>
      </c>
      <c r="M247" s="1" t="s">
        <v>21</v>
      </c>
      <c r="N247" s="1" t="s">
        <v>40</v>
      </c>
      <c r="O247" s="2">
        <v>43100</v>
      </c>
      <c r="P247" s="2">
        <v>43131</v>
      </c>
      <c r="Q247" s="1" t="s">
        <v>22</v>
      </c>
    </row>
    <row r="248" spans="1:17" x14ac:dyDescent="0.25">
      <c r="A248" s="1" t="s">
        <v>39</v>
      </c>
      <c r="B248" s="1" t="s">
        <v>24</v>
      </c>
      <c r="C248" s="1" t="s">
        <v>40</v>
      </c>
      <c r="D248" s="1" t="s">
        <v>252</v>
      </c>
      <c r="E248" s="1" t="s">
        <v>253</v>
      </c>
      <c r="F248" s="1" t="s">
        <v>19</v>
      </c>
      <c r="G248" s="1" t="s">
        <v>227</v>
      </c>
      <c r="H248" s="1" t="s">
        <v>222</v>
      </c>
      <c r="I248" s="1" t="s">
        <v>21</v>
      </c>
      <c r="J248" s="3">
        <v>26126</v>
      </c>
      <c r="K248" s="1" t="s">
        <v>284</v>
      </c>
      <c r="L248" s="1" t="s">
        <v>21</v>
      </c>
      <c r="M248" s="1" t="s">
        <v>21</v>
      </c>
      <c r="N248" s="1" t="s">
        <v>40</v>
      </c>
      <c r="O248" s="2">
        <v>43100</v>
      </c>
      <c r="P248" s="2">
        <v>43131</v>
      </c>
      <c r="Q248" s="1" t="s">
        <v>22</v>
      </c>
    </row>
    <row r="249" spans="1:17" x14ac:dyDescent="0.25">
      <c r="A249" s="1" t="s">
        <v>39</v>
      </c>
      <c r="B249" s="1" t="s">
        <v>24</v>
      </c>
      <c r="C249" s="1" t="s">
        <v>40</v>
      </c>
      <c r="D249" s="1" t="s">
        <v>257</v>
      </c>
      <c r="E249" s="1" t="s">
        <v>241</v>
      </c>
      <c r="F249" s="1" t="s">
        <v>19</v>
      </c>
      <c r="G249" s="1" t="s">
        <v>227</v>
      </c>
      <c r="H249" s="1" t="s">
        <v>222</v>
      </c>
      <c r="I249" s="1" t="s">
        <v>21</v>
      </c>
      <c r="J249" s="3">
        <v>26144</v>
      </c>
      <c r="K249" s="1" t="s">
        <v>131</v>
      </c>
      <c r="L249" s="1" t="s">
        <v>21</v>
      </c>
      <c r="M249" s="1" t="s">
        <v>21</v>
      </c>
      <c r="N249" s="1" t="s">
        <v>40</v>
      </c>
      <c r="O249" s="2">
        <v>43100</v>
      </c>
      <c r="P249" s="2">
        <v>43131</v>
      </c>
      <c r="Q249" s="1" t="s">
        <v>22</v>
      </c>
    </row>
    <row r="250" spans="1:17" x14ac:dyDescent="0.25">
      <c r="A250" s="1" t="s">
        <v>39</v>
      </c>
      <c r="B250" s="1" t="s">
        <v>24</v>
      </c>
      <c r="C250" s="1" t="s">
        <v>40</v>
      </c>
      <c r="D250" s="1" t="s">
        <v>257</v>
      </c>
      <c r="E250" s="1" t="s">
        <v>241</v>
      </c>
      <c r="F250" s="1" t="s">
        <v>19</v>
      </c>
      <c r="G250" s="1" t="s">
        <v>227</v>
      </c>
      <c r="H250" s="1" t="s">
        <v>222</v>
      </c>
      <c r="I250" s="1" t="s">
        <v>21</v>
      </c>
      <c r="J250" s="3">
        <v>44443</v>
      </c>
      <c r="K250" s="1" t="s">
        <v>251</v>
      </c>
      <c r="L250" s="1" t="s">
        <v>21</v>
      </c>
      <c r="M250" s="1" t="s">
        <v>21</v>
      </c>
      <c r="N250" s="1" t="s">
        <v>40</v>
      </c>
      <c r="O250" s="2">
        <v>43100</v>
      </c>
      <c r="P250" s="2">
        <v>43131</v>
      </c>
      <c r="Q250" s="1" t="s">
        <v>22</v>
      </c>
    </row>
    <row r="251" spans="1:17" x14ac:dyDescent="0.25">
      <c r="A251" s="1" t="s">
        <v>39</v>
      </c>
      <c r="B251" s="1" t="s">
        <v>24</v>
      </c>
      <c r="C251" s="1" t="s">
        <v>40</v>
      </c>
      <c r="D251" s="1" t="s">
        <v>266</v>
      </c>
      <c r="E251" s="1" t="s">
        <v>267</v>
      </c>
      <c r="F251" s="1" t="s">
        <v>19</v>
      </c>
      <c r="G251" s="1" t="s">
        <v>227</v>
      </c>
      <c r="H251" s="1" t="s">
        <v>222</v>
      </c>
      <c r="I251" s="1" t="s">
        <v>21</v>
      </c>
      <c r="J251" s="3">
        <v>-259</v>
      </c>
      <c r="K251" s="1" t="s">
        <v>88</v>
      </c>
      <c r="L251" s="1" t="s">
        <v>21</v>
      </c>
      <c r="M251" s="1" t="s">
        <v>21</v>
      </c>
      <c r="N251" s="1" t="s">
        <v>40</v>
      </c>
      <c r="O251" s="2">
        <v>43100</v>
      </c>
      <c r="P251" s="2">
        <v>43131</v>
      </c>
      <c r="Q251" s="1" t="s">
        <v>22</v>
      </c>
    </row>
    <row r="252" spans="1:17" x14ac:dyDescent="0.25">
      <c r="A252" s="1" t="s">
        <v>39</v>
      </c>
      <c r="B252" s="1" t="s">
        <v>24</v>
      </c>
      <c r="C252" s="1" t="s">
        <v>40</v>
      </c>
      <c r="D252" s="1" t="s">
        <v>229</v>
      </c>
      <c r="E252" s="1" t="s">
        <v>18</v>
      </c>
      <c r="F252" s="1" t="s">
        <v>19</v>
      </c>
      <c r="G252" s="1" t="s">
        <v>227</v>
      </c>
      <c r="H252" s="1" t="s">
        <v>222</v>
      </c>
      <c r="I252" s="1" t="s">
        <v>21</v>
      </c>
      <c r="J252" s="3">
        <v>-72942</v>
      </c>
      <c r="K252" s="1" t="s">
        <v>130</v>
      </c>
      <c r="L252" s="1" t="s">
        <v>21</v>
      </c>
      <c r="M252" s="1" t="s">
        <v>21</v>
      </c>
      <c r="N252" s="1" t="s">
        <v>40</v>
      </c>
      <c r="O252" s="2">
        <v>43100</v>
      </c>
      <c r="P252" s="2">
        <v>43131</v>
      </c>
      <c r="Q252" s="1" t="s">
        <v>22</v>
      </c>
    </row>
    <row r="253" spans="1:17" x14ac:dyDescent="0.25">
      <c r="A253" s="1" t="s">
        <v>39</v>
      </c>
      <c r="B253" s="1" t="s">
        <v>24</v>
      </c>
      <c r="C253" s="1" t="s">
        <v>40</v>
      </c>
      <c r="D253" s="1" t="s">
        <v>257</v>
      </c>
      <c r="E253" s="1" t="s">
        <v>241</v>
      </c>
      <c r="F253" s="1" t="s">
        <v>19</v>
      </c>
      <c r="G253" s="1" t="s">
        <v>227</v>
      </c>
      <c r="H253" s="1" t="s">
        <v>222</v>
      </c>
      <c r="I253" s="1" t="s">
        <v>21</v>
      </c>
      <c r="J253" s="3">
        <v>-506994</v>
      </c>
      <c r="K253" s="1" t="s">
        <v>93</v>
      </c>
      <c r="L253" s="1" t="s">
        <v>21</v>
      </c>
      <c r="M253" s="1" t="s">
        <v>21</v>
      </c>
      <c r="N253" s="1" t="s">
        <v>40</v>
      </c>
      <c r="O253" s="2">
        <v>43100</v>
      </c>
      <c r="P253" s="2">
        <v>43131</v>
      </c>
      <c r="Q253" s="1" t="s">
        <v>22</v>
      </c>
    </row>
    <row r="254" spans="1:17" x14ac:dyDescent="0.25">
      <c r="A254" s="1" t="s">
        <v>39</v>
      </c>
      <c r="B254" s="1" t="s">
        <v>24</v>
      </c>
      <c r="C254" s="1" t="s">
        <v>40</v>
      </c>
      <c r="D254" s="1" t="s">
        <v>266</v>
      </c>
      <c r="E254" s="1" t="s">
        <v>267</v>
      </c>
      <c r="F254" s="1" t="s">
        <v>19</v>
      </c>
      <c r="G254" s="1" t="s">
        <v>227</v>
      </c>
      <c r="H254" s="1" t="s">
        <v>222</v>
      </c>
      <c r="I254" s="1" t="s">
        <v>21</v>
      </c>
      <c r="J254" s="3">
        <v>-7895</v>
      </c>
      <c r="K254" s="1" t="s">
        <v>93</v>
      </c>
      <c r="L254" s="1" t="s">
        <v>21</v>
      </c>
      <c r="M254" s="1" t="s">
        <v>21</v>
      </c>
      <c r="N254" s="1" t="s">
        <v>40</v>
      </c>
      <c r="O254" s="2">
        <v>43100</v>
      </c>
      <c r="P254" s="2">
        <v>43131</v>
      </c>
      <c r="Q254" s="1" t="s">
        <v>22</v>
      </c>
    </row>
    <row r="255" spans="1:17" x14ac:dyDescent="0.25">
      <c r="A255" s="1" t="s">
        <v>39</v>
      </c>
      <c r="B255" s="1" t="s">
        <v>24</v>
      </c>
      <c r="C255" s="1" t="s">
        <v>40</v>
      </c>
      <c r="D255" s="1" t="s">
        <v>228</v>
      </c>
      <c r="E255" s="1" t="s">
        <v>30</v>
      </c>
      <c r="F255" s="1" t="s">
        <v>19</v>
      </c>
      <c r="G255" s="1" t="s">
        <v>227</v>
      </c>
      <c r="H255" s="1" t="s">
        <v>222</v>
      </c>
      <c r="I255" s="1" t="s">
        <v>21</v>
      </c>
      <c r="J255" s="3">
        <v>-67914</v>
      </c>
      <c r="K255" s="1" t="s">
        <v>124</v>
      </c>
      <c r="L255" s="1" t="s">
        <v>21</v>
      </c>
      <c r="M255" s="1" t="s">
        <v>21</v>
      </c>
      <c r="N255" s="1" t="s">
        <v>40</v>
      </c>
      <c r="O255" s="2">
        <v>43100</v>
      </c>
      <c r="P255" s="2">
        <v>43131</v>
      </c>
      <c r="Q255" s="1" t="s">
        <v>22</v>
      </c>
    </row>
    <row r="256" spans="1:17" x14ac:dyDescent="0.25">
      <c r="A256" s="1" t="s">
        <v>39</v>
      </c>
      <c r="B256" s="1" t="s">
        <v>24</v>
      </c>
      <c r="C256" s="1" t="s">
        <v>40</v>
      </c>
      <c r="D256" s="1" t="s">
        <v>255</v>
      </c>
      <c r="E256" s="1" t="s">
        <v>256</v>
      </c>
      <c r="F256" s="1" t="s">
        <v>19</v>
      </c>
      <c r="G256" s="1" t="s">
        <v>227</v>
      </c>
      <c r="H256" s="1" t="s">
        <v>222</v>
      </c>
      <c r="I256" s="1" t="s">
        <v>21</v>
      </c>
      <c r="J256" s="3">
        <v>-124053</v>
      </c>
      <c r="K256" s="1" t="s">
        <v>124</v>
      </c>
      <c r="L256" s="1" t="s">
        <v>21</v>
      </c>
      <c r="M256" s="1" t="s">
        <v>21</v>
      </c>
      <c r="N256" s="1" t="s">
        <v>40</v>
      </c>
      <c r="O256" s="2">
        <v>43100</v>
      </c>
      <c r="P256" s="2">
        <v>43131</v>
      </c>
      <c r="Q256" s="1" t="s">
        <v>22</v>
      </c>
    </row>
    <row r="257" spans="1:17" x14ac:dyDescent="0.25">
      <c r="A257" s="1" t="s">
        <v>39</v>
      </c>
      <c r="B257" s="1" t="s">
        <v>24</v>
      </c>
      <c r="C257" s="1" t="s">
        <v>40</v>
      </c>
      <c r="D257" s="1" t="s">
        <v>258</v>
      </c>
      <c r="E257" s="1" t="s">
        <v>259</v>
      </c>
      <c r="F257" s="1" t="s">
        <v>19</v>
      </c>
      <c r="G257" s="1" t="s">
        <v>227</v>
      </c>
      <c r="H257" s="1" t="s">
        <v>222</v>
      </c>
      <c r="I257" s="1" t="s">
        <v>21</v>
      </c>
      <c r="J257" s="3">
        <v>-6286</v>
      </c>
      <c r="K257" s="1" t="s">
        <v>285</v>
      </c>
      <c r="L257" s="1" t="s">
        <v>21</v>
      </c>
      <c r="M257" s="1" t="s">
        <v>21</v>
      </c>
      <c r="N257" s="1" t="s">
        <v>40</v>
      </c>
      <c r="O257" s="2">
        <v>43100</v>
      </c>
      <c r="P257" s="2">
        <v>43131</v>
      </c>
      <c r="Q257" s="1" t="s">
        <v>22</v>
      </c>
    </row>
    <row r="258" spans="1:17" x14ac:dyDescent="0.25">
      <c r="A258" s="1" t="s">
        <v>39</v>
      </c>
      <c r="B258" s="1" t="s">
        <v>24</v>
      </c>
      <c r="C258" s="1" t="s">
        <v>40</v>
      </c>
      <c r="D258" s="1" t="s">
        <v>254</v>
      </c>
      <c r="E258" s="1" t="s">
        <v>56</v>
      </c>
      <c r="F258" s="1" t="s">
        <v>19</v>
      </c>
      <c r="G258" s="1" t="s">
        <v>227</v>
      </c>
      <c r="H258" s="1" t="s">
        <v>222</v>
      </c>
      <c r="I258" s="1" t="s">
        <v>21</v>
      </c>
      <c r="J258" s="3">
        <v>-535452</v>
      </c>
      <c r="K258" s="1" t="s">
        <v>93</v>
      </c>
      <c r="L258" s="1" t="s">
        <v>21</v>
      </c>
      <c r="M258" s="1" t="s">
        <v>21</v>
      </c>
      <c r="N258" s="1" t="s">
        <v>40</v>
      </c>
      <c r="O258" s="2">
        <v>43100</v>
      </c>
      <c r="P258" s="2">
        <v>43131</v>
      </c>
      <c r="Q258" s="1" t="s">
        <v>22</v>
      </c>
    </row>
    <row r="259" spans="1:17" x14ac:dyDescent="0.25">
      <c r="A259" s="1" t="s">
        <v>39</v>
      </c>
      <c r="B259" s="1" t="s">
        <v>24</v>
      </c>
      <c r="C259" s="1" t="s">
        <v>40</v>
      </c>
      <c r="D259" s="1" t="s">
        <v>257</v>
      </c>
      <c r="E259" s="1" t="s">
        <v>241</v>
      </c>
      <c r="F259" s="1" t="s">
        <v>19</v>
      </c>
      <c r="G259" s="1" t="s">
        <v>227</v>
      </c>
      <c r="H259" s="1" t="s">
        <v>222</v>
      </c>
      <c r="I259" s="1" t="s">
        <v>21</v>
      </c>
      <c r="J259" s="3">
        <v>-352050</v>
      </c>
      <c r="K259" s="1" t="s">
        <v>93</v>
      </c>
      <c r="L259" s="1" t="s">
        <v>21</v>
      </c>
      <c r="M259" s="1" t="s">
        <v>21</v>
      </c>
      <c r="N259" s="1" t="s">
        <v>40</v>
      </c>
      <c r="O259" s="2">
        <v>43100</v>
      </c>
      <c r="P259" s="2">
        <v>43131</v>
      </c>
      <c r="Q259" s="1" t="s">
        <v>22</v>
      </c>
    </row>
    <row r="260" spans="1:17" x14ac:dyDescent="0.25">
      <c r="A260" s="1" t="s">
        <v>39</v>
      </c>
      <c r="B260" s="1" t="s">
        <v>24</v>
      </c>
      <c r="C260" s="1" t="s">
        <v>40</v>
      </c>
      <c r="D260" s="1" t="s">
        <v>260</v>
      </c>
      <c r="E260" s="1" t="s">
        <v>261</v>
      </c>
      <c r="F260" s="1" t="s">
        <v>19</v>
      </c>
      <c r="G260" s="1" t="s">
        <v>227</v>
      </c>
      <c r="H260" s="1" t="s">
        <v>222</v>
      </c>
      <c r="I260" s="1" t="s">
        <v>21</v>
      </c>
      <c r="J260" s="3">
        <v>1564</v>
      </c>
      <c r="K260" s="1" t="s">
        <v>93</v>
      </c>
      <c r="L260" s="1" t="s">
        <v>21</v>
      </c>
      <c r="M260" s="1" t="s">
        <v>21</v>
      </c>
      <c r="N260" s="1" t="s">
        <v>40</v>
      </c>
      <c r="O260" s="2">
        <v>43100</v>
      </c>
      <c r="P260" s="2">
        <v>43131</v>
      </c>
      <c r="Q260" s="1" t="s">
        <v>22</v>
      </c>
    </row>
    <row r="261" spans="1:17" x14ac:dyDescent="0.25">
      <c r="A261" s="1" t="s">
        <v>39</v>
      </c>
      <c r="B261" s="1" t="s">
        <v>24</v>
      </c>
      <c r="C261" s="1" t="s">
        <v>40</v>
      </c>
      <c r="D261" s="1" t="s">
        <v>228</v>
      </c>
      <c r="E261" s="1" t="s">
        <v>30</v>
      </c>
      <c r="F261" s="1" t="s">
        <v>19</v>
      </c>
      <c r="G261" s="1" t="s">
        <v>227</v>
      </c>
      <c r="H261" s="1" t="s">
        <v>222</v>
      </c>
      <c r="I261" s="1" t="s">
        <v>21</v>
      </c>
      <c r="J261" s="3">
        <v>-190806</v>
      </c>
      <c r="K261" s="1" t="s">
        <v>93</v>
      </c>
      <c r="L261" s="1" t="s">
        <v>21</v>
      </c>
      <c r="M261" s="1" t="s">
        <v>21</v>
      </c>
      <c r="N261" s="1" t="s">
        <v>40</v>
      </c>
      <c r="O261" s="2">
        <v>43100</v>
      </c>
      <c r="P261" s="2">
        <v>43131</v>
      </c>
      <c r="Q261" s="1" t="s">
        <v>22</v>
      </c>
    </row>
    <row r="262" spans="1:17" x14ac:dyDescent="0.25">
      <c r="A262" s="1" t="s">
        <v>39</v>
      </c>
      <c r="B262" s="1" t="s">
        <v>24</v>
      </c>
      <c r="C262" s="1" t="s">
        <v>40</v>
      </c>
      <c r="D262" s="1" t="s">
        <v>229</v>
      </c>
      <c r="E262" s="1" t="s">
        <v>18</v>
      </c>
      <c r="F262" s="1" t="s">
        <v>19</v>
      </c>
      <c r="G262" s="1" t="s">
        <v>227</v>
      </c>
      <c r="H262" s="1" t="s">
        <v>222</v>
      </c>
      <c r="I262" s="1" t="s">
        <v>21</v>
      </c>
      <c r="J262" s="3">
        <v>-70297</v>
      </c>
      <c r="K262" s="1" t="s">
        <v>93</v>
      </c>
      <c r="L262" s="1" t="s">
        <v>21</v>
      </c>
      <c r="M262" s="1" t="s">
        <v>21</v>
      </c>
      <c r="N262" s="1" t="s">
        <v>40</v>
      </c>
      <c r="O262" s="2">
        <v>43100</v>
      </c>
      <c r="P262" s="2">
        <v>43131</v>
      </c>
      <c r="Q262" s="1" t="s">
        <v>22</v>
      </c>
    </row>
    <row r="263" spans="1:17" x14ac:dyDescent="0.25">
      <c r="A263" s="1" t="s">
        <v>39</v>
      </c>
      <c r="B263" s="1" t="s">
        <v>24</v>
      </c>
      <c r="C263" s="1" t="s">
        <v>40</v>
      </c>
      <c r="D263" s="1" t="s">
        <v>257</v>
      </c>
      <c r="E263" s="1" t="s">
        <v>241</v>
      </c>
      <c r="F263" s="1" t="s">
        <v>19</v>
      </c>
      <c r="G263" s="1" t="s">
        <v>227</v>
      </c>
      <c r="H263" s="1" t="s">
        <v>222</v>
      </c>
      <c r="I263" s="1" t="s">
        <v>21</v>
      </c>
      <c r="J263" s="3">
        <v>152631</v>
      </c>
      <c r="K263" s="1" t="s">
        <v>93</v>
      </c>
      <c r="L263" s="1" t="s">
        <v>21</v>
      </c>
      <c r="M263" s="1" t="s">
        <v>21</v>
      </c>
      <c r="N263" s="1" t="s">
        <v>40</v>
      </c>
      <c r="O263" s="2">
        <v>43100</v>
      </c>
      <c r="P263" s="2">
        <v>43131</v>
      </c>
      <c r="Q263" s="1" t="s">
        <v>22</v>
      </c>
    </row>
    <row r="264" spans="1:17" x14ac:dyDescent="0.25">
      <c r="A264" s="1" t="s">
        <v>39</v>
      </c>
      <c r="B264" s="1" t="s">
        <v>24</v>
      </c>
      <c r="C264" s="1" t="s">
        <v>40</v>
      </c>
      <c r="D264" s="1" t="s">
        <v>229</v>
      </c>
      <c r="E264" s="1" t="s">
        <v>18</v>
      </c>
      <c r="F264" s="1" t="s">
        <v>19</v>
      </c>
      <c r="G264" s="1" t="s">
        <v>227</v>
      </c>
      <c r="H264" s="1" t="s">
        <v>222</v>
      </c>
      <c r="I264" s="1" t="s">
        <v>21</v>
      </c>
      <c r="J264" s="3">
        <v>-50225</v>
      </c>
      <c r="K264" s="1" t="s">
        <v>124</v>
      </c>
      <c r="L264" s="1" t="s">
        <v>21</v>
      </c>
      <c r="M264" s="1" t="s">
        <v>21</v>
      </c>
      <c r="N264" s="1" t="s">
        <v>40</v>
      </c>
      <c r="O264" s="2">
        <v>43100</v>
      </c>
      <c r="P264" s="2">
        <v>43131</v>
      </c>
      <c r="Q264" s="1" t="s">
        <v>22</v>
      </c>
    </row>
    <row r="265" spans="1:17" x14ac:dyDescent="0.25">
      <c r="A265" s="1" t="s">
        <v>39</v>
      </c>
      <c r="B265" s="1" t="s">
        <v>24</v>
      </c>
      <c r="C265" s="1" t="s">
        <v>40</v>
      </c>
      <c r="D265" s="1" t="s">
        <v>254</v>
      </c>
      <c r="E265" s="1" t="s">
        <v>56</v>
      </c>
      <c r="F265" s="1" t="s">
        <v>19</v>
      </c>
      <c r="G265" s="1" t="s">
        <v>227</v>
      </c>
      <c r="H265" s="1" t="s">
        <v>222</v>
      </c>
      <c r="I265" s="1" t="s">
        <v>21</v>
      </c>
      <c r="J265" s="3">
        <v>-77055</v>
      </c>
      <c r="K265" s="1" t="s">
        <v>124</v>
      </c>
      <c r="L265" s="1" t="s">
        <v>21</v>
      </c>
      <c r="M265" s="1" t="s">
        <v>21</v>
      </c>
      <c r="N265" s="1" t="s">
        <v>40</v>
      </c>
      <c r="O265" s="2">
        <v>43100</v>
      </c>
      <c r="P265" s="2">
        <v>43131</v>
      </c>
      <c r="Q265" s="1" t="s">
        <v>22</v>
      </c>
    </row>
    <row r="266" spans="1:17" x14ac:dyDescent="0.25">
      <c r="A266" s="1" t="s">
        <v>39</v>
      </c>
      <c r="B266" s="1" t="s">
        <v>24</v>
      </c>
      <c r="C266" s="1" t="s">
        <v>40</v>
      </c>
      <c r="D266" s="1" t="s">
        <v>258</v>
      </c>
      <c r="E266" s="1" t="s">
        <v>259</v>
      </c>
      <c r="F266" s="1" t="s">
        <v>19</v>
      </c>
      <c r="G266" s="1" t="s">
        <v>227</v>
      </c>
      <c r="H266" s="1" t="s">
        <v>222</v>
      </c>
      <c r="I266" s="1" t="s">
        <v>21</v>
      </c>
      <c r="J266" s="3">
        <v>1875</v>
      </c>
      <c r="K266" s="1" t="s">
        <v>285</v>
      </c>
      <c r="L266" s="1" t="s">
        <v>21</v>
      </c>
      <c r="M266" s="1" t="s">
        <v>21</v>
      </c>
      <c r="N266" s="1" t="s">
        <v>40</v>
      </c>
      <c r="O266" s="2">
        <v>43100</v>
      </c>
      <c r="P266" s="2">
        <v>43131</v>
      </c>
      <c r="Q266" s="1" t="s">
        <v>22</v>
      </c>
    </row>
    <row r="267" spans="1:17" x14ac:dyDescent="0.25">
      <c r="A267" s="1" t="s">
        <v>39</v>
      </c>
      <c r="B267" s="1" t="s">
        <v>24</v>
      </c>
      <c r="C267" s="1" t="s">
        <v>40</v>
      </c>
      <c r="D267" s="1" t="s">
        <v>258</v>
      </c>
      <c r="E267" s="1" t="s">
        <v>259</v>
      </c>
      <c r="F267" s="1" t="s">
        <v>19</v>
      </c>
      <c r="G267" s="1" t="s">
        <v>227</v>
      </c>
      <c r="H267" s="1" t="s">
        <v>222</v>
      </c>
      <c r="I267" s="1" t="s">
        <v>21</v>
      </c>
      <c r="J267" s="3">
        <v>4411</v>
      </c>
      <c r="K267" s="1" t="s">
        <v>285</v>
      </c>
      <c r="L267" s="1" t="s">
        <v>21</v>
      </c>
      <c r="M267" s="1" t="s">
        <v>21</v>
      </c>
      <c r="N267" s="1" t="s">
        <v>40</v>
      </c>
      <c r="O267" s="2">
        <v>43100</v>
      </c>
      <c r="P267" s="2">
        <v>43131</v>
      </c>
      <c r="Q267" s="1" t="s">
        <v>22</v>
      </c>
    </row>
    <row r="268" spans="1:17" x14ac:dyDescent="0.25">
      <c r="A268" s="1" t="s">
        <v>39</v>
      </c>
      <c r="B268" s="1" t="s">
        <v>24</v>
      </c>
      <c r="C268" s="1" t="s">
        <v>40</v>
      </c>
      <c r="D268" s="1" t="s">
        <v>265</v>
      </c>
      <c r="E268" s="1" t="s">
        <v>253</v>
      </c>
      <c r="F268" s="1" t="s">
        <v>19</v>
      </c>
      <c r="G268" s="1" t="s">
        <v>227</v>
      </c>
      <c r="H268" s="1" t="s">
        <v>224</v>
      </c>
      <c r="I268" s="1" t="s">
        <v>21</v>
      </c>
      <c r="J268" s="3">
        <v>-6367953</v>
      </c>
      <c r="K268" s="1" t="s">
        <v>117</v>
      </c>
      <c r="L268" s="1" t="s">
        <v>21</v>
      </c>
      <c r="M268" s="1" t="s">
        <v>21</v>
      </c>
      <c r="N268" s="1" t="s">
        <v>40</v>
      </c>
      <c r="O268" s="2">
        <v>43100</v>
      </c>
      <c r="P268" s="2">
        <v>43131</v>
      </c>
      <c r="Q268" s="1" t="s">
        <v>22</v>
      </c>
    </row>
    <row r="269" spans="1:17" x14ac:dyDescent="0.25">
      <c r="A269" s="1" t="s">
        <v>39</v>
      </c>
      <c r="B269" s="1" t="s">
        <v>24</v>
      </c>
      <c r="C269" s="1" t="s">
        <v>40</v>
      </c>
      <c r="D269" s="1" t="s">
        <v>263</v>
      </c>
      <c r="E269" s="1" t="s">
        <v>241</v>
      </c>
      <c r="F269" s="1" t="s">
        <v>19</v>
      </c>
      <c r="G269" s="1" t="s">
        <v>227</v>
      </c>
      <c r="H269" s="1" t="s">
        <v>224</v>
      </c>
      <c r="I269" s="1" t="s">
        <v>21</v>
      </c>
      <c r="J269" s="3">
        <v>-1284548</v>
      </c>
      <c r="K269" s="1" t="s">
        <v>117</v>
      </c>
      <c r="L269" s="1" t="s">
        <v>21</v>
      </c>
      <c r="M269" s="1" t="s">
        <v>21</v>
      </c>
      <c r="N269" s="1" t="s">
        <v>40</v>
      </c>
      <c r="O269" s="2">
        <v>43100</v>
      </c>
      <c r="P269" s="2">
        <v>43131</v>
      </c>
      <c r="Q269" s="1" t="s">
        <v>22</v>
      </c>
    </row>
    <row r="270" spans="1:17" x14ac:dyDescent="0.25">
      <c r="A270" s="1" t="s">
        <v>39</v>
      </c>
      <c r="B270" s="1" t="s">
        <v>24</v>
      </c>
      <c r="C270" s="1" t="s">
        <v>40</v>
      </c>
      <c r="D270" s="1" t="s">
        <v>258</v>
      </c>
      <c r="E270" s="1" t="s">
        <v>259</v>
      </c>
      <c r="F270" s="1" t="s">
        <v>19</v>
      </c>
      <c r="G270" s="1" t="s">
        <v>227</v>
      </c>
      <c r="H270" s="1" t="s">
        <v>222</v>
      </c>
      <c r="I270" s="1" t="s">
        <v>21</v>
      </c>
      <c r="J270" s="3">
        <v>693</v>
      </c>
      <c r="K270" s="1" t="s">
        <v>243</v>
      </c>
      <c r="L270" s="1" t="s">
        <v>21</v>
      </c>
      <c r="M270" s="1" t="s">
        <v>21</v>
      </c>
      <c r="N270" s="1" t="s">
        <v>40</v>
      </c>
      <c r="O270" s="2">
        <v>43100</v>
      </c>
      <c r="P270" s="2">
        <v>43131</v>
      </c>
      <c r="Q270" s="1" t="s">
        <v>22</v>
      </c>
    </row>
    <row r="271" spans="1:17" x14ac:dyDescent="0.25">
      <c r="A271" s="1" t="s">
        <v>39</v>
      </c>
      <c r="B271" s="1" t="s">
        <v>24</v>
      </c>
      <c r="C271" s="1" t="s">
        <v>40</v>
      </c>
      <c r="D271" s="1" t="s">
        <v>275</v>
      </c>
      <c r="E271" s="1" t="s">
        <v>261</v>
      </c>
      <c r="F271" s="1" t="s">
        <v>19</v>
      </c>
      <c r="G271" s="1" t="s">
        <v>227</v>
      </c>
      <c r="H271" s="1" t="s">
        <v>224</v>
      </c>
      <c r="I271" s="1" t="s">
        <v>21</v>
      </c>
      <c r="J271" s="3">
        <v>-36619</v>
      </c>
      <c r="K271" s="1" t="s">
        <v>117</v>
      </c>
      <c r="L271" s="1" t="s">
        <v>21</v>
      </c>
      <c r="M271" s="1" t="s">
        <v>21</v>
      </c>
      <c r="N271" s="1" t="s">
        <v>40</v>
      </c>
      <c r="O271" s="2">
        <v>43100</v>
      </c>
      <c r="P271" s="2">
        <v>43131</v>
      </c>
      <c r="Q271" s="1" t="s">
        <v>22</v>
      </c>
    </row>
    <row r="272" spans="1:17" x14ac:dyDescent="0.25">
      <c r="A272" s="1" t="s">
        <v>39</v>
      </c>
      <c r="B272" s="1" t="s">
        <v>24</v>
      </c>
      <c r="C272" s="1" t="s">
        <v>40</v>
      </c>
      <c r="D272" s="1" t="s">
        <v>255</v>
      </c>
      <c r="E272" s="1" t="s">
        <v>256</v>
      </c>
      <c r="F272" s="1" t="s">
        <v>19</v>
      </c>
      <c r="G272" s="1" t="s">
        <v>227</v>
      </c>
      <c r="H272" s="1" t="s">
        <v>222</v>
      </c>
      <c r="I272" s="1" t="s">
        <v>21</v>
      </c>
      <c r="J272" s="3">
        <v>1</v>
      </c>
      <c r="K272" s="1" t="s">
        <v>286</v>
      </c>
      <c r="L272" s="1" t="s">
        <v>21</v>
      </c>
      <c r="M272" s="1" t="s">
        <v>21</v>
      </c>
      <c r="N272" s="1" t="s">
        <v>40</v>
      </c>
      <c r="O272" s="2">
        <v>43100</v>
      </c>
      <c r="P272" s="2">
        <v>43131</v>
      </c>
      <c r="Q272" s="1" t="s">
        <v>22</v>
      </c>
    </row>
    <row r="273" spans="1:17" x14ac:dyDescent="0.25">
      <c r="A273" s="1" t="s">
        <v>39</v>
      </c>
      <c r="B273" s="1" t="s">
        <v>24</v>
      </c>
      <c r="C273" s="1" t="s">
        <v>40</v>
      </c>
      <c r="D273" s="1" t="s">
        <v>258</v>
      </c>
      <c r="E273" s="1" t="s">
        <v>259</v>
      </c>
      <c r="F273" s="1" t="s">
        <v>19</v>
      </c>
      <c r="G273" s="1" t="s">
        <v>227</v>
      </c>
      <c r="H273" s="1" t="s">
        <v>222</v>
      </c>
      <c r="I273" s="1" t="s">
        <v>21</v>
      </c>
      <c r="J273" s="3">
        <v>87848</v>
      </c>
      <c r="K273" s="1" t="s">
        <v>243</v>
      </c>
      <c r="L273" s="1" t="s">
        <v>21</v>
      </c>
      <c r="M273" s="1" t="s">
        <v>21</v>
      </c>
      <c r="N273" s="1" t="s">
        <v>40</v>
      </c>
      <c r="O273" s="2">
        <v>43100</v>
      </c>
      <c r="P273" s="2">
        <v>43131</v>
      </c>
      <c r="Q273" s="1" t="s">
        <v>22</v>
      </c>
    </row>
    <row r="274" spans="1:17" x14ac:dyDescent="0.25">
      <c r="A274" s="1" t="s">
        <v>39</v>
      </c>
      <c r="B274" s="1" t="s">
        <v>24</v>
      </c>
      <c r="C274" s="1" t="s">
        <v>83</v>
      </c>
      <c r="D274" s="1" t="s">
        <v>254</v>
      </c>
      <c r="E274" s="1" t="s">
        <v>56</v>
      </c>
      <c r="F274" s="1" t="s">
        <v>19</v>
      </c>
      <c r="G274" s="1" t="s">
        <v>227</v>
      </c>
      <c r="H274" s="1" t="s">
        <v>222</v>
      </c>
      <c r="I274" s="1" t="s">
        <v>21</v>
      </c>
      <c r="J274" s="3">
        <v>-1506</v>
      </c>
      <c r="K274" s="1" t="s">
        <v>141</v>
      </c>
      <c r="L274" s="1" t="s">
        <v>21</v>
      </c>
      <c r="M274" s="1" t="s">
        <v>21</v>
      </c>
      <c r="N274" s="1" t="s">
        <v>83</v>
      </c>
      <c r="O274" s="2">
        <v>43100</v>
      </c>
      <c r="P274" s="2">
        <v>43147</v>
      </c>
      <c r="Q274" s="1" t="s">
        <v>22</v>
      </c>
    </row>
    <row r="275" spans="1:17" x14ac:dyDescent="0.25">
      <c r="A275" s="1" t="s">
        <v>39</v>
      </c>
      <c r="B275" s="1" t="s">
        <v>24</v>
      </c>
      <c r="C275" s="1" t="s">
        <v>83</v>
      </c>
      <c r="D275" s="1" t="s">
        <v>263</v>
      </c>
      <c r="E275" s="1" t="s">
        <v>241</v>
      </c>
      <c r="F275" s="1" t="s">
        <v>19</v>
      </c>
      <c r="G275" s="1" t="s">
        <v>227</v>
      </c>
      <c r="H275" s="1" t="s">
        <v>224</v>
      </c>
      <c r="I275" s="1" t="s">
        <v>21</v>
      </c>
      <c r="J275" s="3">
        <v>3914</v>
      </c>
      <c r="K275" s="1" t="s">
        <v>141</v>
      </c>
      <c r="L275" s="1" t="s">
        <v>21</v>
      </c>
      <c r="M275" s="1" t="s">
        <v>21</v>
      </c>
      <c r="N275" s="1" t="s">
        <v>83</v>
      </c>
      <c r="O275" s="2">
        <v>43100</v>
      </c>
      <c r="P275" s="2">
        <v>43147</v>
      </c>
      <c r="Q275" s="1" t="s">
        <v>22</v>
      </c>
    </row>
    <row r="276" spans="1:17" x14ac:dyDescent="0.25">
      <c r="A276" s="1" t="s">
        <v>39</v>
      </c>
      <c r="B276" s="1" t="s">
        <v>24</v>
      </c>
      <c r="C276" s="1" t="s">
        <v>83</v>
      </c>
      <c r="D276" s="1" t="s">
        <v>228</v>
      </c>
      <c r="E276" s="1" t="s">
        <v>30</v>
      </c>
      <c r="F276" s="1" t="s">
        <v>19</v>
      </c>
      <c r="G276" s="1" t="s">
        <v>227</v>
      </c>
      <c r="H276" s="1" t="s">
        <v>222</v>
      </c>
      <c r="I276" s="1" t="s">
        <v>21</v>
      </c>
      <c r="J276" s="3">
        <v>-15839</v>
      </c>
      <c r="K276" s="1" t="s">
        <v>141</v>
      </c>
      <c r="L276" s="1" t="s">
        <v>21</v>
      </c>
      <c r="M276" s="1" t="s">
        <v>21</v>
      </c>
      <c r="N276" s="1" t="s">
        <v>83</v>
      </c>
      <c r="O276" s="2">
        <v>43100</v>
      </c>
      <c r="P276" s="2">
        <v>43147</v>
      </c>
      <c r="Q276" s="1" t="s">
        <v>22</v>
      </c>
    </row>
    <row r="277" spans="1:17" x14ac:dyDescent="0.25">
      <c r="A277" s="1" t="s">
        <v>39</v>
      </c>
      <c r="B277" s="1" t="s">
        <v>24</v>
      </c>
      <c r="C277" s="1" t="s">
        <v>40</v>
      </c>
      <c r="D277" s="1" t="s">
        <v>268</v>
      </c>
      <c r="E277" s="1" t="s">
        <v>56</v>
      </c>
      <c r="F277" s="1" t="s">
        <v>19</v>
      </c>
      <c r="G277" s="1" t="s">
        <v>227</v>
      </c>
      <c r="H277" s="1" t="s">
        <v>224</v>
      </c>
      <c r="I277" s="1" t="s">
        <v>21</v>
      </c>
      <c r="J277" s="3">
        <v>-9296093</v>
      </c>
      <c r="K277" s="1" t="s">
        <v>117</v>
      </c>
      <c r="L277" s="1" t="s">
        <v>21</v>
      </c>
      <c r="M277" s="1" t="s">
        <v>21</v>
      </c>
      <c r="N277" s="1" t="s">
        <v>40</v>
      </c>
      <c r="O277" s="2">
        <v>43100</v>
      </c>
      <c r="P277" s="2">
        <v>43131</v>
      </c>
      <c r="Q277" s="1" t="s">
        <v>22</v>
      </c>
    </row>
    <row r="278" spans="1:17" x14ac:dyDescent="0.25">
      <c r="A278" s="1" t="s">
        <v>39</v>
      </c>
      <c r="B278" s="1" t="s">
        <v>24</v>
      </c>
      <c r="C278" s="1" t="s">
        <v>40</v>
      </c>
      <c r="D278" s="1" t="s">
        <v>257</v>
      </c>
      <c r="E278" s="1" t="s">
        <v>241</v>
      </c>
      <c r="F278" s="1" t="s">
        <v>19</v>
      </c>
      <c r="G278" s="1" t="s">
        <v>227</v>
      </c>
      <c r="H278" s="1" t="s">
        <v>222</v>
      </c>
      <c r="I278" s="1" t="s">
        <v>21</v>
      </c>
      <c r="J278" s="3">
        <v>4224</v>
      </c>
      <c r="K278" s="1" t="s">
        <v>243</v>
      </c>
      <c r="L278" s="1" t="s">
        <v>21</v>
      </c>
      <c r="M278" s="1" t="s">
        <v>21</v>
      </c>
      <c r="N278" s="1" t="s">
        <v>40</v>
      </c>
      <c r="O278" s="2">
        <v>43100</v>
      </c>
      <c r="P278" s="2">
        <v>43131</v>
      </c>
      <c r="Q278" s="1" t="s">
        <v>22</v>
      </c>
    </row>
    <row r="279" spans="1:17" x14ac:dyDescent="0.25">
      <c r="A279" s="1" t="s">
        <v>39</v>
      </c>
      <c r="B279" s="1" t="s">
        <v>24</v>
      </c>
      <c r="C279" s="1" t="s">
        <v>40</v>
      </c>
      <c r="D279" s="1" t="s">
        <v>274</v>
      </c>
      <c r="E279" s="1" t="s">
        <v>267</v>
      </c>
      <c r="F279" s="1" t="s">
        <v>19</v>
      </c>
      <c r="G279" s="1" t="s">
        <v>227</v>
      </c>
      <c r="H279" s="1" t="s">
        <v>224</v>
      </c>
      <c r="I279" s="1" t="s">
        <v>21</v>
      </c>
      <c r="J279" s="3">
        <v>-129200</v>
      </c>
      <c r="K279" s="1" t="s">
        <v>117</v>
      </c>
      <c r="L279" s="1" t="s">
        <v>21</v>
      </c>
      <c r="M279" s="1" t="s">
        <v>21</v>
      </c>
      <c r="N279" s="1" t="s">
        <v>40</v>
      </c>
      <c r="O279" s="2">
        <v>43100</v>
      </c>
      <c r="P279" s="2">
        <v>43131</v>
      </c>
      <c r="Q279" s="1" t="s">
        <v>22</v>
      </c>
    </row>
    <row r="280" spans="1:17" x14ac:dyDescent="0.25">
      <c r="A280" s="1" t="s">
        <v>39</v>
      </c>
      <c r="B280" s="1" t="s">
        <v>24</v>
      </c>
      <c r="C280" s="1" t="s">
        <v>40</v>
      </c>
      <c r="D280" s="1" t="s">
        <v>269</v>
      </c>
      <c r="E280" s="1" t="s">
        <v>259</v>
      </c>
      <c r="F280" s="1" t="s">
        <v>19</v>
      </c>
      <c r="G280" s="1" t="s">
        <v>227</v>
      </c>
      <c r="H280" s="1" t="s">
        <v>224</v>
      </c>
      <c r="I280" s="1" t="s">
        <v>21</v>
      </c>
      <c r="J280" s="3">
        <v>-11781496</v>
      </c>
      <c r="K280" s="1" t="s">
        <v>117</v>
      </c>
      <c r="L280" s="1" t="s">
        <v>21</v>
      </c>
      <c r="M280" s="1" t="s">
        <v>21</v>
      </c>
      <c r="N280" s="1" t="s">
        <v>40</v>
      </c>
      <c r="O280" s="2">
        <v>43100</v>
      </c>
      <c r="P280" s="2">
        <v>43131</v>
      </c>
      <c r="Q280" s="1" t="s">
        <v>22</v>
      </c>
    </row>
    <row r="281" spans="1:17" x14ac:dyDescent="0.25">
      <c r="A281" s="1" t="s">
        <v>39</v>
      </c>
      <c r="B281" s="1" t="s">
        <v>24</v>
      </c>
      <c r="C281" s="1" t="s">
        <v>40</v>
      </c>
      <c r="D281" s="1" t="s">
        <v>226</v>
      </c>
      <c r="E281" s="1" t="s">
        <v>30</v>
      </c>
      <c r="F281" s="1" t="s">
        <v>19</v>
      </c>
      <c r="G281" s="1" t="s">
        <v>227</v>
      </c>
      <c r="H281" s="1" t="s">
        <v>224</v>
      </c>
      <c r="I281" s="1" t="s">
        <v>21</v>
      </c>
      <c r="J281" s="3">
        <v>-2820550</v>
      </c>
      <c r="K281" s="1" t="s">
        <v>117</v>
      </c>
      <c r="L281" s="1" t="s">
        <v>21</v>
      </c>
      <c r="M281" s="1" t="s">
        <v>21</v>
      </c>
      <c r="N281" s="1" t="s">
        <v>40</v>
      </c>
      <c r="O281" s="2">
        <v>43100</v>
      </c>
      <c r="P281" s="2">
        <v>43131</v>
      </c>
      <c r="Q281" s="1" t="s">
        <v>22</v>
      </c>
    </row>
    <row r="282" spans="1:17" x14ac:dyDescent="0.25">
      <c r="A282" s="1" t="s">
        <v>39</v>
      </c>
      <c r="B282" s="1" t="s">
        <v>24</v>
      </c>
      <c r="C282" s="1" t="s">
        <v>40</v>
      </c>
      <c r="D282" s="1" t="s">
        <v>273</v>
      </c>
      <c r="E282" s="1" t="s">
        <v>240</v>
      </c>
      <c r="F282" s="1" t="s">
        <v>19</v>
      </c>
      <c r="G282" s="1" t="s">
        <v>227</v>
      </c>
      <c r="H282" s="1" t="s">
        <v>224</v>
      </c>
      <c r="I282" s="1" t="s">
        <v>21</v>
      </c>
      <c r="J282" s="3">
        <v>-321685</v>
      </c>
      <c r="K282" s="1" t="s">
        <v>117</v>
      </c>
      <c r="L282" s="1" t="s">
        <v>21</v>
      </c>
      <c r="M282" s="1" t="s">
        <v>21</v>
      </c>
      <c r="N282" s="1" t="s">
        <v>40</v>
      </c>
      <c r="O282" s="2">
        <v>43100</v>
      </c>
      <c r="P282" s="2">
        <v>43131</v>
      </c>
      <c r="Q282" s="1" t="s">
        <v>22</v>
      </c>
    </row>
    <row r="283" spans="1:17" x14ac:dyDescent="0.25">
      <c r="A283" s="1" t="s">
        <v>39</v>
      </c>
      <c r="B283" s="1" t="s">
        <v>24</v>
      </c>
      <c r="C283" s="1" t="s">
        <v>40</v>
      </c>
      <c r="D283" s="1" t="s">
        <v>257</v>
      </c>
      <c r="E283" s="1" t="s">
        <v>241</v>
      </c>
      <c r="F283" s="1" t="s">
        <v>19</v>
      </c>
      <c r="G283" s="1" t="s">
        <v>227</v>
      </c>
      <c r="H283" s="1" t="s">
        <v>222</v>
      </c>
      <c r="I283" s="1" t="s">
        <v>21</v>
      </c>
      <c r="J283" s="3">
        <v>276118</v>
      </c>
      <c r="K283" s="1" t="s">
        <v>243</v>
      </c>
      <c r="L283" s="1" t="s">
        <v>21</v>
      </c>
      <c r="M283" s="1" t="s">
        <v>21</v>
      </c>
      <c r="N283" s="1" t="s">
        <v>40</v>
      </c>
      <c r="O283" s="2">
        <v>43100</v>
      </c>
      <c r="P283" s="2">
        <v>43131</v>
      </c>
      <c r="Q283" s="1" t="s">
        <v>22</v>
      </c>
    </row>
    <row r="284" spans="1:17" x14ac:dyDescent="0.25">
      <c r="A284" s="1" t="s">
        <v>39</v>
      </c>
      <c r="B284" s="1" t="s">
        <v>24</v>
      </c>
      <c r="C284" s="1" t="s">
        <v>40</v>
      </c>
      <c r="D284" s="1" t="s">
        <v>230</v>
      </c>
      <c r="E284" s="1" t="s">
        <v>18</v>
      </c>
      <c r="F284" s="1" t="s">
        <v>19</v>
      </c>
      <c r="G284" s="1" t="s">
        <v>227</v>
      </c>
      <c r="H284" s="1" t="s">
        <v>224</v>
      </c>
      <c r="I284" s="1" t="s">
        <v>21</v>
      </c>
      <c r="J284" s="3">
        <v>-1239025</v>
      </c>
      <c r="K284" s="1" t="s">
        <v>117</v>
      </c>
      <c r="L284" s="1" t="s">
        <v>21</v>
      </c>
      <c r="M284" s="1" t="s">
        <v>21</v>
      </c>
      <c r="N284" s="1" t="s">
        <v>40</v>
      </c>
      <c r="O284" s="2">
        <v>43100</v>
      </c>
      <c r="P284" s="2">
        <v>43131</v>
      </c>
      <c r="Q284" s="1" t="s">
        <v>22</v>
      </c>
    </row>
    <row r="285" spans="1:17" x14ac:dyDescent="0.25">
      <c r="A285" s="1" t="s">
        <v>39</v>
      </c>
      <c r="B285" s="1" t="s">
        <v>24</v>
      </c>
      <c r="C285" s="1" t="s">
        <v>40</v>
      </c>
      <c r="D285" s="1" t="s">
        <v>269</v>
      </c>
      <c r="E285" s="1" t="s">
        <v>259</v>
      </c>
      <c r="F285" s="1" t="s">
        <v>19</v>
      </c>
      <c r="G285" s="1" t="s">
        <v>227</v>
      </c>
      <c r="H285" s="1" t="s">
        <v>224</v>
      </c>
      <c r="I285" s="1" t="s">
        <v>21</v>
      </c>
      <c r="J285" s="3">
        <v>-2657629</v>
      </c>
      <c r="K285" s="1" t="s">
        <v>117</v>
      </c>
      <c r="L285" s="1" t="s">
        <v>21</v>
      </c>
      <c r="M285" s="1" t="s">
        <v>21</v>
      </c>
      <c r="N285" s="1" t="s">
        <v>40</v>
      </c>
      <c r="O285" s="2">
        <v>43100</v>
      </c>
      <c r="P285" s="2">
        <v>43131</v>
      </c>
      <c r="Q285" s="1" t="s">
        <v>22</v>
      </c>
    </row>
    <row r="286" spans="1:17" x14ac:dyDescent="0.25">
      <c r="A286" s="1" t="s">
        <v>39</v>
      </c>
      <c r="B286" s="1" t="s">
        <v>24</v>
      </c>
      <c r="C286" s="1" t="s">
        <v>83</v>
      </c>
      <c r="D286" s="1" t="s">
        <v>254</v>
      </c>
      <c r="E286" s="1" t="s">
        <v>56</v>
      </c>
      <c r="F286" s="1" t="s">
        <v>19</v>
      </c>
      <c r="G286" s="1" t="s">
        <v>227</v>
      </c>
      <c r="H286" s="1" t="s">
        <v>222</v>
      </c>
      <c r="I286" s="1" t="s">
        <v>21</v>
      </c>
      <c r="J286" s="3">
        <v>-54941</v>
      </c>
      <c r="K286" s="1" t="s">
        <v>141</v>
      </c>
      <c r="L286" s="1" t="s">
        <v>21</v>
      </c>
      <c r="M286" s="1" t="s">
        <v>21</v>
      </c>
      <c r="N286" s="1" t="s">
        <v>83</v>
      </c>
      <c r="O286" s="2">
        <v>43100</v>
      </c>
      <c r="P286" s="2">
        <v>43147</v>
      </c>
      <c r="Q286" s="1" t="s">
        <v>22</v>
      </c>
    </row>
    <row r="287" spans="1:17" x14ac:dyDescent="0.25">
      <c r="A287" s="1" t="s">
        <v>39</v>
      </c>
      <c r="B287" s="1" t="s">
        <v>24</v>
      </c>
      <c r="C287" s="1" t="s">
        <v>83</v>
      </c>
      <c r="D287" s="1" t="s">
        <v>257</v>
      </c>
      <c r="E287" s="1" t="s">
        <v>241</v>
      </c>
      <c r="F287" s="1" t="s">
        <v>19</v>
      </c>
      <c r="G287" s="1" t="s">
        <v>227</v>
      </c>
      <c r="H287" s="1" t="s">
        <v>222</v>
      </c>
      <c r="I287" s="1" t="s">
        <v>21</v>
      </c>
      <c r="J287" s="3">
        <v>10446</v>
      </c>
      <c r="K287" s="1" t="s">
        <v>141</v>
      </c>
      <c r="L287" s="1" t="s">
        <v>21</v>
      </c>
      <c r="M287" s="1" t="s">
        <v>21</v>
      </c>
      <c r="N287" s="1" t="s">
        <v>83</v>
      </c>
      <c r="O287" s="2">
        <v>43100</v>
      </c>
      <c r="P287" s="2">
        <v>43147</v>
      </c>
      <c r="Q287" s="1" t="s">
        <v>22</v>
      </c>
    </row>
    <row r="288" spans="1:17" x14ac:dyDescent="0.25">
      <c r="A288" s="1" t="s">
        <v>39</v>
      </c>
      <c r="B288" s="1" t="s">
        <v>24</v>
      </c>
      <c r="C288" s="1" t="s">
        <v>83</v>
      </c>
      <c r="D288" s="1" t="s">
        <v>229</v>
      </c>
      <c r="E288" s="1" t="s">
        <v>18</v>
      </c>
      <c r="F288" s="1" t="s">
        <v>19</v>
      </c>
      <c r="G288" s="1" t="s">
        <v>227</v>
      </c>
      <c r="H288" s="1" t="s">
        <v>222</v>
      </c>
      <c r="I288" s="1" t="s">
        <v>21</v>
      </c>
      <c r="J288" s="3">
        <v>-366</v>
      </c>
      <c r="K288" s="1" t="s">
        <v>141</v>
      </c>
      <c r="L288" s="1" t="s">
        <v>21</v>
      </c>
      <c r="M288" s="1" t="s">
        <v>21</v>
      </c>
      <c r="N288" s="1" t="s">
        <v>83</v>
      </c>
      <c r="O288" s="2">
        <v>43100</v>
      </c>
      <c r="P288" s="2">
        <v>43147</v>
      </c>
      <c r="Q288" s="1" t="s">
        <v>22</v>
      </c>
    </row>
    <row r="289" spans="1:17" x14ac:dyDescent="0.25">
      <c r="A289" s="1" t="s">
        <v>39</v>
      </c>
      <c r="B289" s="1" t="s">
        <v>24</v>
      </c>
      <c r="C289" s="1" t="s">
        <v>40</v>
      </c>
      <c r="D289" s="1" t="s">
        <v>263</v>
      </c>
      <c r="E289" s="1" t="s">
        <v>241</v>
      </c>
      <c r="F289" s="1" t="s">
        <v>19</v>
      </c>
      <c r="G289" s="1" t="s">
        <v>227</v>
      </c>
      <c r="H289" s="1" t="s">
        <v>224</v>
      </c>
      <c r="I289" s="1" t="s">
        <v>21</v>
      </c>
      <c r="J289" s="3">
        <v>-2376082</v>
      </c>
      <c r="K289" s="1" t="s">
        <v>117</v>
      </c>
      <c r="L289" s="1" t="s">
        <v>21</v>
      </c>
      <c r="M289" s="1" t="s">
        <v>21</v>
      </c>
      <c r="N289" s="1" t="s">
        <v>40</v>
      </c>
      <c r="O289" s="2">
        <v>43100</v>
      </c>
      <c r="P289" s="2">
        <v>43131</v>
      </c>
      <c r="Q289" s="1" t="s">
        <v>22</v>
      </c>
    </row>
    <row r="290" spans="1:17" x14ac:dyDescent="0.25">
      <c r="A290" s="1" t="s">
        <v>39</v>
      </c>
      <c r="B290" s="1" t="s">
        <v>24</v>
      </c>
      <c r="C290" s="1" t="s">
        <v>83</v>
      </c>
      <c r="D290" s="1" t="s">
        <v>262</v>
      </c>
      <c r="E290" s="1" t="s">
        <v>240</v>
      </c>
      <c r="F290" s="1" t="s">
        <v>19</v>
      </c>
      <c r="G290" s="1" t="s">
        <v>227</v>
      </c>
      <c r="H290" s="1" t="s">
        <v>222</v>
      </c>
      <c r="I290" s="1" t="s">
        <v>21</v>
      </c>
      <c r="J290" s="3">
        <v>-1201</v>
      </c>
      <c r="K290" s="1" t="s">
        <v>141</v>
      </c>
      <c r="L290" s="1" t="s">
        <v>21</v>
      </c>
      <c r="M290" s="1" t="s">
        <v>21</v>
      </c>
      <c r="N290" s="1" t="s">
        <v>83</v>
      </c>
      <c r="O290" s="2">
        <v>43100</v>
      </c>
      <c r="P290" s="2">
        <v>43147</v>
      </c>
      <c r="Q290" s="1" t="s">
        <v>22</v>
      </c>
    </row>
    <row r="291" spans="1:17" x14ac:dyDescent="0.25">
      <c r="A291" s="1" t="s">
        <v>39</v>
      </c>
      <c r="B291" s="1" t="s">
        <v>24</v>
      </c>
      <c r="C291" s="1" t="s">
        <v>83</v>
      </c>
      <c r="D291" s="1" t="s">
        <v>228</v>
      </c>
      <c r="E291" s="1" t="s">
        <v>30</v>
      </c>
      <c r="F291" s="1" t="s">
        <v>19</v>
      </c>
      <c r="G291" s="1" t="s">
        <v>227</v>
      </c>
      <c r="H291" s="1" t="s">
        <v>222</v>
      </c>
      <c r="I291" s="1" t="s">
        <v>21</v>
      </c>
      <c r="J291" s="3">
        <v>-469</v>
      </c>
      <c r="K291" s="1" t="s">
        <v>141</v>
      </c>
      <c r="L291" s="1" t="s">
        <v>21</v>
      </c>
      <c r="M291" s="1" t="s">
        <v>21</v>
      </c>
      <c r="N291" s="1" t="s">
        <v>83</v>
      </c>
      <c r="O291" s="2">
        <v>43100</v>
      </c>
      <c r="P291" s="2">
        <v>43147</v>
      </c>
      <c r="Q291" s="1" t="s">
        <v>22</v>
      </c>
    </row>
    <row r="292" spans="1:17" x14ac:dyDescent="0.25">
      <c r="A292" s="1" t="s">
        <v>39</v>
      </c>
      <c r="B292" s="1" t="s">
        <v>24</v>
      </c>
      <c r="C292" s="1" t="s">
        <v>40</v>
      </c>
      <c r="D292" s="1" t="s">
        <v>271</v>
      </c>
      <c r="E292" s="1" t="s">
        <v>256</v>
      </c>
      <c r="F292" s="1" t="s">
        <v>19</v>
      </c>
      <c r="G292" s="1" t="s">
        <v>227</v>
      </c>
      <c r="H292" s="1" t="s">
        <v>224</v>
      </c>
      <c r="I292" s="1" t="s">
        <v>21</v>
      </c>
      <c r="J292" s="3">
        <v>-23323670</v>
      </c>
      <c r="K292" s="1" t="s">
        <v>117</v>
      </c>
      <c r="L292" s="1" t="s">
        <v>21</v>
      </c>
      <c r="M292" s="1" t="s">
        <v>21</v>
      </c>
      <c r="N292" s="1" t="s">
        <v>40</v>
      </c>
      <c r="O292" s="2">
        <v>43100</v>
      </c>
      <c r="P292" s="2">
        <v>43131</v>
      </c>
      <c r="Q292" s="1" t="s">
        <v>22</v>
      </c>
    </row>
    <row r="293" spans="1:17" x14ac:dyDescent="0.25">
      <c r="A293" s="1" t="s">
        <v>39</v>
      </c>
      <c r="B293" s="1" t="s">
        <v>24</v>
      </c>
      <c r="C293" s="1" t="s">
        <v>40</v>
      </c>
      <c r="D293" s="1" t="s">
        <v>263</v>
      </c>
      <c r="E293" s="1" t="s">
        <v>241</v>
      </c>
      <c r="F293" s="1" t="s">
        <v>19</v>
      </c>
      <c r="G293" s="1" t="s">
        <v>227</v>
      </c>
      <c r="H293" s="1" t="s">
        <v>224</v>
      </c>
      <c r="I293" s="1" t="s">
        <v>21</v>
      </c>
      <c r="J293" s="3">
        <v>-885909</v>
      </c>
      <c r="K293" s="1" t="s">
        <v>117</v>
      </c>
      <c r="L293" s="1" t="s">
        <v>21</v>
      </c>
      <c r="M293" s="1" t="s">
        <v>21</v>
      </c>
      <c r="N293" s="1" t="s">
        <v>40</v>
      </c>
      <c r="O293" s="2">
        <v>43100</v>
      </c>
      <c r="P293" s="2">
        <v>43131</v>
      </c>
      <c r="Q293" s="1" t="s">
        <v>22</v>
      </c>
    </row>
    <row r="294" spans="1:17" x14ac:dyDescent="0.25">
      <c r="A294" s="1" t="s">
        <v>39</v>
      </c>
      <c r="B294" s="1" t="s">
        <v>24</v>
      </c>
      <c r="C294" s="1" t="s">
        <v>40</v>
      </c>
      <c r="D294" s="1" t="s">
        <v>257</v>
      </c>
      <c r="E294" s="1" t="s">
        <v>241</v>
      </c>
      <c r="F294" s="1" t="s">
        <v>19</v>
      </c>
      <c r="G294" s="1" t="s">
        <v>227</v>
      </c>
      <c r="H294" s="1" t="s">
        <v>222</v>
      </c>
      <c r="I294" s="1" t="s">
        <v>21</v>
      </c>
      <c r="J294" s="3">
        <v>5162</v>
      </c>
      <c r="K294" s="1" t="s">
        <v>243</v>
      </c>
      <c r="L294" s="1" t="s">
        <v>21</v>
      </c>
      <c r="M294" s="1" t="s">
        <v>21</v>
      </c>
      <c r="N294" s="1" t="s">
        <v>40</v>
      </c>
      <c r="O294" s="2">
        <v>43100</v>
      </c>
      <c r="P294" s="2">
        <v>43131</v>
      </c>
      <c r="Q294" s="1" t="s">
        <v>22</v>
      </c>
    </row>
    <row r="295" spans="1:17" x14ac:dyDescent="0.25">
      <c r="A295" s="1" t="s">
        <v>39</v>
      </c>
      <c r="B295" s="1" t="s">
        <v>24</v>
      </c>
      <c r="C295" s="1" t="s">
        <v>40</v>
      </c>
      <c r="D295" s="1" t="s">
        <v>269</v>
      </c>
      <c r="E295" s="1" t="s">
        <v>259</v>
      </c>
      <c r="F295" s="1" t="s">
        <v>19</v>
      </c>
      <c r="G295" s="1" t="s">
        <v>227</v>
      </c>
      <c r="H295" s="1" t="s">
        <v>224</v>
      </c>
      <c r="I295" s="1" t="s">
        <v>21</v>
      </c>
      <c r="J295" s="3">
        <v>-1525909</v>
      </c>
      <c r="K295" s="1" t="s">
        <v>117</v>
      </c>
      <c r="L295" s="1" t="s">
        <v>21</v>
      </c>
      <c r="M295" s="1" t="s">
        <v>21</v>
      </c>
      <c r="N295" s="1" t="s">
        <v>40</v>
      </c>
      <c r="O295" s="2">
        <v>43100</v>
      </c>
      <c r="P295" s="2">
        <v>43131</v>
      </c>
      <c r="Q295" s="1" t="s">
        <v>22</v>
      </c>
    </row>
    <row r="296" spans="1:17" x14ac:dyDescent="0.25">
      <c r="A296" s="1" t="s">
        <v>39</v>
      </c>
      <c r="B296" s="1" t="s">
        <v>24</v>
      </c>
      <c r="C296" s="1" t="s">
        <v>83</v>
      </c>
      <c r="D296" s="1" t="s">
        <v>255</v>
      </c>
      <c r="E296" s="1" t="s">
        <v>256</v>
      </c>
      <c r="F296" s="1" t="s">
        <v>19</v>
      </c>
      <c r="G296" s="1" t="s">
        <v>227</v>
      </c>
      <c r="H296" s="1" t="s">
        <v>222</v>
      </c>
      <c r="I296" s="1" t="s">
        <v>21</v>
      </c>
      <c r="J296" s="3">
        <v>-456</v>
      </c>
      <c r="K296" s="1" t="s">
        <v>141</v>
      </c>
      <c r="L296" s="1" t="s">
        <v>21</v>
      </c>
      <c r="M296" s="1" t="s">
        <v>21</v>
      </c>
      <c r="N296" s="1" t="s">
        <v>83</v>
      </c>
      <c r="O296" s="2">
        <v>43100</v>
      </c>
      <c r="P296" s="2">
        <v>43147</v>
      </c>
      <c r="Q296" s="1" t="s">
        <v>22</v>
      </c>
    </row>
    <row r="297" spans="1:17" x14ac:dyDescent="0.25">
      <c r="A297" s="1" t="s">
        <v>39</v>
      </c>
      <c r="B297" s="1" t="s">
        <v>24</v>
      </c>
      <c r="C297" s="1" t="s">
        <v>83</v>
      </c>
      <c r="D297" s="1" t="s">
        <v>266</v>
      </c>
      <c r="E297" s="1" t="s">
        <v>267</v>
      </c>
      <c r="F297" s="1" t="s">
        <v>19</v>
      </c>
      <c r="G297" s="1" t="s">
        <v>227</v>
      </c>
      <c r="H297" s="1" t="s">
        <v>222</v>
      </c>
      <c r="I297" s="1" t="s">
        <v>21</v>
      </c>
      <c r="J297" s="3">
        <v>-2098</v>
      </c>
      <c r="K297" s="1" t="s">
        <v>141</v>
      </c>
      <c r="L297" s="1" t="s">
        <v>21</v>
      </c>
      <c r="M297" s="1" t="s">
        <v>21</v>
      </c>
      <c r="N297" s="1" t="s">
        <v>83</v>
      </c>
      <c r="O297" s="2">
        <v>43100</v>
      </c>
      <c r="P297" s="2">
        <v>43147</v>
      </c>
      <c r="Q297" s="1" t="s">
        <v>22</v>
      </c>
    </row>
    <row r="298" spans="1:17" x14ac:dyDescent="0.25">
      <c r="A298" s="1" t="s">
        <v>39</v>
      </c>
      <c r="B298" s="1" t="s">
        <v>24</v>
      </c>
      <c r="C298" s="1" t="s">
        <v>40</v>
      </c>
      <c r="D298" s="1" t="s">
        <v>258</v>
      </c>
      <c r="E298" s="1" t="s">
        <v>259</v>
      </c>
      <c r="F298" s="1" t="s">
        <v>19</v>
      </c>
      <c r="G298" s="1" t="s">
        <v>227</v>
      </c>
      <c r="H298" s="1" t="s">
        <v>222</v>
      </c>
      <c r="I298" s="1" t="s">
        <v>21</v>
      </c>
      <c r="J298" s="3">
        <v>473037</v>
      </c>
      <c r="K298" s="1" t="s">
        <v>115</v>
      </c>
      <c r="L298" s="1" t="s">
        <v>21</v>
      </c>
      <c r="M298" s="1" t="s">
        <v>21</v>
      </c>
      <c r="N298" s="1" t="s">
        <v>40</v>
      </c>
      <c r="O298" s="2">
        <v>43100</v>
      </c>
      <c r="P298" s="2">
        <v>43131</v>
      </c>
      <c r="Q298" s="1" t="s">
        <v>22</v>
      </c>
    </row>
    <row r="299" spans="1:17" x14ac:dyDescent="0.25">
      <c r="A299" s="1" t="s">
        <v>39</v>
      </c>
      <c r="B299" s="1" t="s">
        <v>24</v>
      </c>
      <c r="C299" s="1" t="s">
        <v>40</v>
      </c>
      <c r="D299" s="1" t="s">
        <v>258</v>
      </c>
      <c r="E299" s="1" t="s">
        <v>259</v>
      </c>
      <c r="F299" s="1" t="s">
        <v>19</v>
      </c>
      <c r="G299" s="1" t="s">
        <v>227</v>
      </c>
      <c r="H299" s="1" t="s">
        <v>222</v>
      </c>
      <c r="I299" s="1" t="s">
        <v>21</v>
      </c>
      <c r="J299" s="3">
        <v>95624</v>
      </c>
      <c r="K299" s="1" t="s">
        <v>115</v>
      </c>
      <c r="L299" s="1" t="s">
        <v>21</v>
      </c>
      <c r="M299" s="1" t="s">
        <v>21</v>
      </c>
      <c r="N299" s="1" t="s">
        <v>40</v>
      </c>
      <c r="O299" s="2">
        <v>43100</v>
      </c>
      <c r="P299" s="2">
        <v>43131</v>
      </c>
      <c r="Q299" s="1" t="s">
        <v>22</v>
      </c>
    </row>
    <row r="300" spans="1:17" x14ac:dyDescent="0.25">
      <c r="A300" s="1" t="s">
        <v>39</v>
      </c>
      <c r="B300" s="1" t="s">
        <v>24</v>
      </c>
      <c r="C300" s="1" t="s">
        <v>40</v>
      </c>
      <c r="D300" s="1" t="s">
        <v>258</v>
      </c>
      <c r="E300" s="1" t="s">
        <v>259</v>
      </c>
      <c r="F300" s="1" t="s">
        <v>19</v>
      </c>
      <c r="G300" s="1" t="s">
        <v>227</v>
      </c>
      <c r="H300" s="1" t="s">
        <v>222</v>
      </c>
      <c r="I300" s="1" t="s">
        <v>21</v>
      </c>
      <c r="J300" s="3">
        <v>153566</v>
      </c>
      <c r="K300" s="1" t="s">
        <v>115</v>
      </c>
      <c r="L300" s="1" t="s">
        <v>21</v>
      </c>
      <c r="M300" s="1" t="s">
        <v>21</v>
      </c>
      <c r="N300" s="1" t="s">
        <v>40</v>
      </c>
      <c r="O300" s="2">
        <v>43100</v>
      </c>
      <c r="P300" s="2">
        <v>43131</v>
      </c>
      <c r="Q300" s="1" t="s">
        <v>22</v>
      </c>
    </row>
    <row r="301" spans="1:17" x14ac:dyDescent="0.25">
      <c r="A301" s="1" t="s">
        <v>39</v>
      </c>
      <c r="B301" s="1" t="s">
        <v>24</v>
      </c>
      <c r="C301" s="1" t="s">
        <v>40</v>
      </c>
      <c r="D301" s="1" t="s">
        <v>260</v>
      </c>
      <c r="E301" s="1" t="s">
        <v>261</v>
      </c>
      <c r="F301" s="1" t="s">
        <v>19</v>
      </c>
      <c r="G301" s="1" t="s">
        <v>227</v>
      </c>
      <c r="H301" s="1" t="s">
        <v>222</v>
      </c>
      <c r="I301" s="1" t="s">
        <v>21</v>
      </c>
      <c r="J301" s="3">
        <v>119</v>
      </c>
      <c r="K301" s="1" t="s">
        <v>115</v>
      </c>
      <c r="L301" s="1" t="s">
        <v>21</v>
      </c>
      <c r="M301" s="1" t="s">
        <v>21</v>
      </c>
      <c r="N301" s="1" t="s">
        <v>40</v>
      </c>
      <c r="O301" s="2">
        <v>43100</v>
      </c>
      <c r="P301" s="2">
        <v>43131</v>
      </c>
      <c r="Q301" s="1" t="s">
        <v>22</v>
      </c>
    </row>
    <row r="302" spans="1:17" x14ac:dyDescent="0.25">
      <c r="A302" s="1" t="s">
        <v>39</v>
      </c>
      <c r="B302" s="1" t="s">
        <v>24</v>
      </c>
      <c r="C302" s="1" t="s">
        <v>40</v>
      </c>
      <c r="D302" s="1" t="s">
        <v>266</v>
      </c>
      <c r="E302" s="1" t="s">
        <v>267</v>
      </c>
      <c r="F302" s="1" t="s">
        <v>19</v>
      </c>
      <c r="G302" s="1" t="s">
        <v>227</v>
      </c>
      <c r="H302" s="1" t="s">
        <v>222</v>
      </c>
      <c r="I302" s="1" t="s">
        <v>21</v>
      </c>
      <c r="J302" s="3">
        <v>-22473</v>
      </c>
      <c r="K302" s="1" t="s">
        <v>115</v>
      </c>
      <c r="L302" s="1" t="s">
        <v>21</v>
      </c>
      <c r="M302" s="1" t="s">
        <v>21</v>
      </c>
      <c r="N302" s="1" t="s">
        <v>40</v>
      </c>
      <c r="O302" s="2">
        <v>43100</v>
      </c>
      <c r="P302" s="2">
        <v>43131</v>
      </c>
      <c r="Q302" s="1" t="s">
        <v>22</v>
      </c>
    </row>
    <row r="303" spans="1:17" x14ac:dyDescent="0.25">
      <c r="A303" s="1" t="s">
        <v>39</v>
      </c>
      <c r="B303" s="1" t="s">
        <v>24</v>
      </c>
      <c r="C303" s="1" t="s">
        <v>40</v>
      </c>
      <c r="D303" s="1" t="s">
        <v>257</v>
      </c>
      <c r="E303" s="1" t="s">
        <v>241</v>
      </c>
      <c r="F303" s="1" t="s">
        <v>19</v>
      </c>
      <c r="G303" s="1" t="s">
        <v>227</v>
      </c>
      <c r="H303" s="1" t="s">
        <v>222</v>
      </c>
      <c r="I303" s="1" t="s">
        <v>21</v>
      </c>
      <c r="J303" s="3">
        <v>48575</v>
      </c>
      <c r="K303" s="1" t="s">
        <v>115</v>
      </c>
      <c r="L303" s="1" t="s">
        <v>21</v>
      </c>
      <c r="M303" s="1" t="s">
        <v>21</v>
      </c>
      <c r="N303" s="1" t="s">
        <v>40</v>
      </c>
      <c r="O303" s="2">
        <v>43100</v>
      </c>
      <c r="P303" s="2">
        <v>43131</v>
      </c>
      <c r="Q303" s="1" t="s">
        <v>22</v>
      </c>
    </row>
    <row r="304" spans="1:17" x14ac:dyDescent="0.25">
      <c r="A304" s="1" t="s">
        <v>39</v>
      </c>
      <c r="B304" s="1" t="s">
        <v>24</v>
      </c>
      <c r="C304" s="1" t="s">
        <v>40</v>
      </c>
      <c r="D304" s="1" t="s">
        <v>229</v>
      </c>
      <c r="E304" s="1" t="s">
        <v>18</v>
      </c>
      <c r="F304" s="1" t="s">
        <v>19</v>
      </c>
      <c r="G304" s="1" t="s">
        <v>227</v>
      </c>
      <c r="H304" s="1" t="s">
        <v>222</v>
      </c>
      <c r="I304" s="1" t="s">
        <v>21</v>
      </c>
      <c r="J304" s="3">
        <v>-79</v>
      </c>
      <c r="K304" s="1" t="s">
        <v>115</v>
      </c>
      <c r="L304" s="1" t="s">
        <v>21</v>
      </c>
      <c r="M304" s="1" t="s">
        <v>21</v>
      </c>
      <c r="N304" s="1" t="s">
        <v>40</v>
      </c>
      <c r="O304" s="2">
        <v>43100</v>
      </c>
      <c r="P304" s="2">
        <v>43131</v>
      </c>
      <c r="Q304" s="1" t="s">
        <v>22</v>
      </c>
    </row>
    <row r="305" spans="1:17" x14ac:dyDescent="0.25">
      <c r="A305" s="1" t="s">
        <v>39</v>
      </c>
      <c r="B305" s="1" t="s">
        <v>24</v>
      </c>
      <c r="C305" s="1" t="s">
        <v>40</v>
      </c>
      <c r="D305" s="1" t="s">
        <v>252</v>
      </c>
      <c r="E305" s="1" t="s">
        <v>253</v>
      </c>
      <c r="F305" s="1" t="s">
        <v>19</v>
      </c>
      <c r="G305" s="1" t="s">
        <v>227</v>
      </c>
      <c r="H305" s="1" t="s">
        <v>222</v>
      </c>
      <c r="I305" s="1" t="s">
        <v>21</v>
      </c>
      <c r="J305" s="3">
        <v>98805</v>
      </c>
      <c r="K305" s="1" t="s">
        <v>115</v>
      </c>
      <c r="L305" s="1" t="s">
        <v>21</v>
      </c>
      <c r="M305" s="1" t="s">
        <v>21</v>
      </c>
      <c r="N305" s="1" t="s">
        <v>40</v>
      </c>
      <c r="O305" s="2">
        <v>43100</v>
      </c>
      <c r="P305" s="2">
        <v>43131</v>
      </c>
      <c r="Q305" s="1" t="s">
        <v>22</v>
      </c>
    </row>
    <row r="306" spans="1:17" x14ac:dyDescent="0.25">
      <c r="A306" s="1" t="s">
        <v>39</v>
      </c>
      <c r="B306" s="1" t="s">
        <v>24</v>
      </c>
      <c r="C306" s="1" t="s">
        <v>40</v>
      </c>
      <c r="D306" s="1" t="s">
        <v>258</v>
      </c>
      <c r="E306" s="1" t="s">
        <v>259</v>
      </c>
      <c r="F306" s="1" t="s">
        <v>19</v>
      </c>
      <c r="G306" s="1" t="s">
        <v>227</v>
      </c>
      <c r="H306" s="1" t="s">
        <v>222</v>
      </c>
      <c r="I306" s="1" t="s">
        <v>21</v>
      </c>
      <c r="J306" s="3">
        <v>-4866438</v>
      </c>
      <c r="K306" s="1" t="s">
        <v>287</v>
      </c>
      <c r="L306" s="1" t="s">
        <v>21</v>
      </c>
      <c r="M306" s="1" t="s">
        <v>21</v>
      </c>
      <c r="N306" s="1" t="s">
        <v>40</v>
      </c>
      <c r="O306" s="2">
        <v>43100</v>
      </c>
      <c r="P306" s="2">
        <v>43131</v>
      </c>
      <c r="Q306" s="1" t="s">
        <v>22</v>
      </c>
    </row>
    <row r="307" spans="1:17" x14ac:dyDescent="0.25">
      <c r="A307" s="1" t="s">
        <v>39</v>
      </c>
      <c r="B307" s="1" t="s">
        <v>24</v>
      </c>
      <c r="C307" s="1" t="s">
        <v>137</v>
      </c>
      <c r="D307" s="1" t="s">
        <v>252</v>
      </c>
      <c r="E307" s="1" t="s">
        <v>253</v>
      </c>
      <c r="F307" s="1" t="s">
        <v>19</v>
      </c>
      <c r="G307" s="1" t="s">
        <v>227</v>
      </c>
      <c r="H307" s="1" t="s">
        <v>222</v>
      </c>
      <c r="I307" s="1" t="s">
        <v>21</v>
      </c>
      <c r="J307" s="3">
        <v>25359</v>
      </c>
      <c r="K307" s="1" t="s">
        <v>138</v>
      </c>
      <c r="L307" s="1" t="s">
        <v>21</v>
      </c>
      <c r="M307" s="1" t="s">
        <v>21</v>
      </c>
      <c r="N307" s="1" t="s">
        <v>137</v>
      </c>
      <c r="O307" s="2">
        <v>43159</v>
      </c>
      <c r="P307" s="2">
        <v>43173</v>
      </c>
      <c r="Q307" s="1" t="s">
        <v>22</v>
      </c>
    </row>
    <row r="308" spans="1:17" x14ac:dyDescent="0.25">
      <c r="A308" s="1" t="s">
        <v>39</v>
      </c>
      <c r="B308" s="1" t="s">
        <v>24</v>
      </c>
      <c r="C308" s="1" t="s">
        <v>137</v>
      </c>
      <c r="D308" s="1" t="s">
        <v>229</v>
      </c>
      <c r="E308" s="1" t="s">
        <v>18</v>
      </c>
      <c r="F308" s="1" t="s">
        <v>19</v>
      </c>
      <c r="G308" s="1" t="s">
        <v>227</v>
      </c>
      <c r="H308" s="1" t="s">
        <v>222</v>
      </c>
      <c r="I308" s="1" t="s">
        <v>21</v>
      </c>
      <c r="J308" s="3">
        <v>15804</v>
      </c>
      <c r="K308" s="1" t="s">
        <v>138</v>
      </c>
      <c r="L308" s="1" t="s">
        <v>21</v>
      </c>
      <c r="M308" s="1" t="s">
        <v>21</v>
      </c>
      <c r="N308" s="1" t="s">
        <v>137</v>
      </c>
      <c r="O308" s="2">
        <v>43159</v>
      </c>
      <c r="P308" s="2">
        <v>43173</v>
      </c>
      <c r="Q308" s="1" t="s">
        <v>22</v>
      </c>
    </row>
    <row r="309" spans="1:17" x14ac:dyDescent="0.25">
      <c r="A309" s="1" t="s">
        <v>39</v>
      </c>
      <c r="B309" s="1" t="s">
        <v>24</v>
      </c>
      <c r="C309" s="1" t="s">
        <v>137</v>
      </c>
      <c r="D309" s="1" t="s">
        <v>228</v>
      </c>
      <c r="E309" s="1" t="s">
        <v>30</v>
      </c>
      <c r="F309" s="1" t="s">
        <v>19</v>
      </c>
      <c r="G309" s="1" t="s">
        <v>227</v>
      </c>
      <c r="H309" s="1" t="s">
        <v>222</v>
      </c>
      <c r="I309" s="1" t="s">
        <v>21</v>
      </c>
      <c r="J309" s="3">
        <v>5165</v>
      </c>
      <c r="K309" s="1" t="s">
        <v>145</v>
      </c>
      <c r="L309" s="1" t="s">
        <v>21</v>
      </c>
      <c r="M309" s="1" t="s">
        <v>21</v>
      </c>
      <c r="N309" s="1" t="s">
        <v>137</v>
      </c>
      <c r="O309" s="2">
        <v>43159</v>
      </c>
      <c r="P309" s="2">
        <v>43173</v>
      </c>
      <c r="Q309" s="1" t="s">
        <v>22</v>
      </c>
    </row>
    <row r="310" spans="1:17" x14ac:dyDescent="0.25">
      <c r="A310" s="1" t="s">
        <v>39</v>
      </c>
      <c r="B310" s="1" t="s">
        <v>24</v>
      </c>
      <c r="C310" s="1" t="s">
        <v>137</v>
      </c>
      <c r="D310" s="1" t="s">
        <v>260</v>
      </c>
      <c r="E310" s="1" t="s">
        <v>261</v>
      </c>
      <c r="F310" s="1" t="s">
        <v>19</v>
      </c>
      <c r="G310" s="1" t="s">
        <v>227</v>
      </c>
      <c r="H310" s="1" t="s">
        <v>222</v>
      </c>
      <c r="I310" s="1" t="s">
        <v>21</v>
      </c>
      <c r="J310" s="3">
        <v>209</v>
      </c>
      <c r="K310" s="1" t="s">
        <v>146</v>
      </c>
      <c r="L310" s="1" t="s">
        <v>21</v>
      </c>
      <c r="M310" s="1" t="s">
        <v>21</v>
      </c>
      <c r="N310" s="1" t="s">
        <v>137</v>
      </c>
      <c r="O310" s="2">
        <v>43159</v>
      </c>
      <c r="P310" s="2">
        <v>43173</v>
      </c>
      <c r="Q310" s="1" t="s">
        <v>22</v>
      </c>
    </row>
    <row r="311" spans="1:17" x14ac:dyDescent="0.25">
      <c r="A311" s="1" t="s">
        <v>39</v>
      </c>
      <c r="B311" s="1" t="s">
        <v>24</v>
      </c>
      <c r="C311" s="1" t="s">
        <v>137</v>
      </c>
      <c r="D311" s="1" t="s">
        <v>255</v>
      </c>
      <c r="E311" s="1" t="s">
        <v>256</v>
      </c>
      <c r="F311" s="1" t="s">
        <v>19</v>
      </c>
      <c r="G311" s="1" t="s">
        <v>227</v>
      </c>
      <c r="H311" s="1" t="s">
        <v>222</v>
      </c>
      <c r="I311" s="1" t="s">
        <v>21</v>
      </c>
      <c r="J311" s="3">
        <v>80856</v>
      </c>
      <c r="K311" s="1" t="s">
        <v>138</v>
      </c>
      <c r="L311" s="1" t="s">
        <v>21</v>
      </c>
      <c r="M311" s="1" t="s">
        <v>21</v>
      </c>
      <c r="N311" s="1" t="s">
        <v>137</v>
      </c>
      <c r="O311" s="2">
        <v>43159</v>
      </c>
      <c r="P311" s="2">
        <v>43173</v>
      </c>
      <c r="Q311" s="1" t="s">
        <v>22</v>
      </c>
    </row>
    <row r="312" spans="1:17" x14ac:dyDescent="0.25">
      <c r="A312" s="1" t="s">
        <v>39</v>
      </c>
      <c r="B312" s="1" t="s">
        <v>24</v>
      </c>
      <c r="C312" s="1" t="s">
        <v>137</v>
      </c>
      <c r="D312" s="1" t="s">
        <v>254</v>
      </c>
      <c r="E312" s="1" t="s">
        <v>56</v>
      </c>
      <c r="F312" s="1" t="s">
        <v>19</v>
      </c>
      <c r="G312" s="1" t="s">
        <v>227</v>
      </c>
      <c r="H312" s="1" t="s">
        <v>222</v>
      </c>
      <c r="I312" s="1" t="s">
        <v>21</v>
      </c>
      <c r="J312" s="3">
        <v>19273</v>
      </c>
      <c r="K312" s="1" t="s">
        <v>145</v>
      </c>
      <c r="L312" s="1" t="s">
        <v>21</v>
      </c>
      <c r="M312" s="1" t="s">
        <v>21</v>
      </c>
      <c r="N312" s="1" t="s">
        <v>137</v>
      </c>
      <c r="O312" s="2">
        <v>43159</v>
      </c>
      <c r="P312" s="2">
        <v>43173</v>
      </c>
      <c r="Q312" s="1" t="s">
        <v>22</v>
      </c>
    </row>
    <row r="313" spans="1:17" x14ac:dyDescent="0.25">
      <c r="A313" s="1" t="s">
        <v>39</v>
      </c>
      <c r="B313" s="1" t="s">
        <v>24</v>
      </c>
      <c r="C313" s="1" t="s">
        <v>137</v>
      </c>
      <c r="D313" s="1" t="s">
        <v>252</v>
      </c>
      <c r="E313" s="1" t="s">
        <v>253</v>
      </c>
      <c r="F313" s="1" t="s">
        <v>19</v>
      </c>
      <c r="G313" s="1" t="s">
        <v>227</v>
      </c>
      <c r="H313" s="1" t="s">
        <v>222</v>
      </c>
      <c r="I313" s="1" t="s">
        <v>21</v>
      </c>
      <c r="J313" s="3">
        <v>11383</v>
      </c>
      <c r="K313" s="1" t="s">
        <v>146</v>
      </c>
      <c r="L313" s="1" t="s">
        <v>21</v>
      </c>
      <c r="M313" s="1" t="s">
        <v>21</v>
      </c>
      <c r="N313" s="1" t="s">
        <v>137</v>
      </c>
      <c r="O313" s="2">
        <v>43159</v>
      </c>
      <c r="P313" s="2">
        <v>43173</v>
      </c>
      <c r="Q313" s="1" t="s">
        <v>22</v>
      </c>
    </row>
    <row r="314" spans="1:17" x14ac:dyDescent="0.25">
      <c r="A314" s="1" t="s">
        <v>39</v>
      </c>
      <c r="B314" s="1" t="s">
        <v>24</v>
      </c>
      <c r="C314" s="1" t="s">
        <v>137</v>
      </c>
      <c r="D314" s="1" t="s">
        <v>229</v>
      </c>
      <c r="E314" s="1" t="s">
        <v>18</v>
      </c>
      <c r="F314" s="1" t="s">
        <v>19</v>
      </c>
      <c r="G314" s="1" t="s">
        <v>227</v>
      </c>
      <c r="H314" s="1" t="s">
        <v>222</v>
      </c>
      <c r="I314" s="1" t="s">
        <v>21</v>
      </c>
      <c r="J314" s="3">
        <v>5581</v>
      </c>
      <c r="K314" s="1" t="s">
        <v>146</v>
      </c>
      <c r="L314" s="1" t="s">
        <v>21</v>
      </c>
      <c r="M314" s="1" t="s">
        <v>21</v>
      </c>
      <c r="N314" s="1" t="s">
        <v>137</v>
      </c>
      <c r="O314" s="2">
        <v>43159</v>
      </c>
      <c r="P314" s="2">
        <v>43173</v>
      </c>
      <c r="Q314" s="1" t="s">
        <v>22</v>
      </c>
    </row>
    <row r="315" spans="1:17" x14ac:dyDescent="0.25">
      <c r="A315" s="1" t="s">
        <v>39</v>
      </c>
      <c r="B315" s="1" t="s">
        <v>24</v>
      </c>
      <c r="C315" s="1" t="s">
        <v>137</v>
      </c>
      <c r="D315" s="1" t="s">
        <v>257</v>
      </c>
      <c r="E315" s="1" t="s">
        <v>241</v>
      </c>
      <c r="F315" s="1" t="s">
        <v>19</v>
      </c>
      <c r="G315" s="1" t="s">
        <v>227</v>
      </c>
      <c r="H315" s="1" t="s">
        <v>222</v>
      </c>
      <c r="I315" s="1" t="s">
        <v>21</v>
      </c>
      <c r="J315" s="3">
        <v>28667</v>
      </c>
      <c r="K315" s="1" t="s">
        <v>138</v>
      </c>
      <c r="L315" s="1" t="s">
        <v>21</v>
      </c>
      <c r="M315" s="1" t="s">
        <v>21</v>
      </c>
      <c r="N315" s="1" t="s">
        <v>137</v>
      </c>
      <c r="O315" s="2">
        <v>43159</v>
      </c>
      <c r="P315" s="2">
        <v>43173</v>
      </c>
      <c r="Q315" s="1" t="s">
        <v>22</v>
      </c>
    </row>
    <row r="316" spans="1:17" x14ac:dyDescent="0.25">
      <c r="A316" s="1" t="s">
        <v>39</v>
      </c>
      <c r="B316" s="1" t="s">
        <v>24</v>
      </c>
      <c r="C316" s="1" t="s">
        <v>137</v>
      </c>
      <c r="D316" s="1" t="s">
        <v>255</v>
      </c>
      <c r="E316" s="1" t="s">
        <v>256</v>
      </c>
      <c r="F316" s="1" t="s">
        <v>19</v>
      </c>
      <c r="G316" s="1" t="s">
        <v>227</v>
      </c>
      <c r="H316" s="1" t="s">
        <v>222</v>
      </c>
      <c r="I316" s="1" t="s">
        <v>21</v>
      </c>
      <c r="J316" s="3">
        <v>52692</v>
      </c>
      <c r="K316" s="1" t="s">
        <v>145</v>
      </c>
      <c r="L316" s="1" t="s">
        <v>21</v>
      </c>
      <c r="M316" s="1" t="s">
        <v>21</v>
      </c>
      <c r="N316" s="1" t="s">
        <v>137</v>
      </c>
      <c r="O316" s="2">
        <v>43159</v>
      </c>
      <c r="P316" s="2">
        <v>43173</v>
      </c>
      <c r="Q316" s="1" t="s">
        <v>22</v>
      </c>
    </row>
    <row r="317" spans="1:17" x14ac:dyDescent="0.25">
      <c r="A317" s="1" t="s">
        <v>39</v>
      </c>
      <c r="B317" s="1" t="s">
        <v>24</v>
      </c>
      <c r="C317" s="1" t="s">
        <v>137</v>
      </c>
      <c r="D317" s="1" t="s">
        <v>254</v>
      </c>
      <c r="E317" s="1" t="s">
        <v>56</v>
      </c>
      <c r="F317" s="1" t="s">
        <v>19</v>
      </c>
      <c r="G317" s="1" t="s">
        <v>227</v>
      </c>
      <c r="H317" s="1" t="s">
        <v>222</v>
      </c>
      <c r="I317" s="1" t="s">
        <v>21</v>
      </c>
      <c r="J317" s="3">
        <v>14395</v>
      </c>
      <c r="K317" s="1" t="s">
        <v>146</v>
      </c>
      <c r="L317" s="1" t="s">
        <v>21</v>
      </c>
      <c r="M317" s="1" t="s">
        <v>21</v>
      </c>
      <c r="N317" s="1" t="s">
        <v>137</v>
      </c>
      <c r="O317" s="2">
        <v>43159</v>
      </c>
      <c r="P317" s="2">
        <v>43173</v>
      </c>
      <c r="Q317" s="1" t="s">
        <v>22</v>
      </c>
    </row>
    <row r="318" spans="1:17" x14ac:dyDescent="0.25">
      <c r="A318" s="1" t="s">
        <v>39</v>
      </c>
      <c r="B318" s="1" t="s">
        <v>24</v>
      </c>
      <c r="C318" s="1" t="s">
        <v>137</v>
      </c>
      <c r="D318" s="1" t="s">
        <v>266</v>
      </c>
      <c r="E318" s="1" t="s">
        <v>267</v>
      </c>
      <c r="F318" s="1" t="s">
        <v>19</v>
      </c>
      <c r="G318" s="1" t="s">
        <v>227</v>
      </c>
      <c r="H318" s="1" t="s">
        <v>222</v>
      </c>
      <c r="I318" s="1" t="s">
        <v>21</v>
      </c>
      <c r="J318" s="3">
        <v>367</v>
      </c>
      <c r="K318" s="1" t="s">
        <v>138</v>
      </c>
      <c r="L318" s="1" t="s">
        <v>21</v>
      </c>
      <c r="M318" s="1" t="s">
        <v>21</v>
      </c>
      <c r="N318" s="1" t="s">
        <v>137</v>
      </c>
      <c r="O318" s="2">
        <v>43159</v>
      </c>
      <c r="P318" s="2">
        <v>43173</v>
      </c>
      <c r="Q318" s="1" t="s">
        <v>22</v>
      </c>
    </row>
    <row r="319" spans="1:17" x14ac:dyDescent="0.25">
      <c r="A319" s="1" t="s">
        <v>39</v>
      </c>
      <c r="B319" s="1" t="s">
        <v>24</v>
      </c>
      <c r="C319" s="1" t="s">
        <v>137</v>
      </c>
      <c r="D319" s="1" t="s">
        <v>257</v>
      </c>
      <c r="E319" s="1" t="s">
        <v>241</v>
      </c>
      <c r="F319" s="1" t="s">
        <v>19</v>
      </c>
      <c r="G319" s="1" t="s">
        <v>227</v>
      </c>
      <c r="H319" s="1" t="s">
        <v>222</v>
      </c>
      <c r="I319" s="1" t="s">
        <v>21</v>
      </c>
      <c r="J319" s="3">
        <v>14788</v>
      </c>
      <c r="K319" s="1" t="s">
        <v>145</v>
      </c>
      <c r="L319" s="1" t="s">
        <v>21</v>
      </c>
      <c r="M319" s="1" t="s">
        <v>21</v>
      </c>
      <c r="N319" s="1" t="s">
        <v>137</v>
      </c>
      <c r="O319" s="2">
        <v>43159</v>
      </c>
      <c r="P319" s="2">
        <v>43173</v>
      </c>
      <c r="Q319" s="1" t="s">
        <v>22</v>
      </c>
    </row>
    <row r="320" spans="1:17" x14ac:dyDescent="0.25">
      <c r="A320" s="1" t="s">
        <v>39</v>
      </c>
      <c r="B320" s="1" t="s">
        <v>24</v>
      </c>
      <c r="C320" s="1" t="s">
        <v>137</v>
      </c>
      <c r="D320" s="1" t="s">
        <v>255</v>
      </c>
      <c r="E320" s="1" t="s">
        <v>256</v>
      </c>
      <c r="F320" s="1" t="s">
        <v>19</v>
      </c>
      <c r="G320" s="1" t="s">
        <v>227</v>
      </c>
      <c r="H320" s="1" t="s">
        <v>222</v>
      </c>
      <c r="I320" s="1" t="s">
        <v>21</v>
      </c>
      <c r="J320" s="3">
        <v>41596</v>
      </c>
      <c r="K320" s="1" t="s">
        <v>146</v>
      </c>
      <c r="L320" s="1" t="s">
        <v>21</v>
      </c>
      <c r="M320" s="1" t="s">
        <v>21</v>
      </c>
      <c r="N320" s="1" t="s">
        <v>137</v>
      </c>
      <c r="O320" s="2">
        <v>43159</v>
      </c>
      <c r="P320" s="2">
        <v>43173</v>
      </c>
      <c r="Q320" s="1" t="s">
        <v>22</v>
      </c>
    </row>
    <row r="321" spans="1:17" x14ac:dyDescent="0.25">
      <c r="A321" s="1" t="s">
        <v>39</v>
      </c>
      <c r="B321" s="1" t="s">
        <v>24</v>
      </c>
      <c r="C321" s="1" t="s">
        <v>137</v>
      </c>
      <c r="D321" s="1" t="s">
        <v>260</v>
      </c>
      <c r="E321" s="1" t="s">
        <v>261</v>
      </c>
      <c r="F321" s="1" t="s">
        <v>19</v>
      </c>
      <c r="G321" s="1" t="s">
        <v>227</v>
      </c>
      <c r="H321" s="1" t="s">
        <v>222</v>
      </c>
      <c r="I321" s="1" t="s">
        <v>21</v>
      </c>
      <c r="J321" s="3">
        <v>367</v>
      </c>
      <c r="K321" s="1" t="s">
        <v>138</v>
      </c>
      <c r="L321" s="1" t="s">
        <v>21</v>
      </c>
      <c r="M321" s="1" t="s">
        <v>21</v>
      </c>
      <c r="N321" s="1" t="s">
        <v>137</v>
      </c>
      <c r="O321" s="2">
        <v>43159</v>
      </c>
      <c r="P321" s="2">
        <v>43173</v>
      </c>
      <c r="Q321" s="1" t="s">
        <v>22</v>
      </c>
    </row>
    <row r="322" spans="1:17" x14ac:dyDescent="0.25">
      <c r="A322" s="1" t="s">
        <v>39</v>
      </c>
      <c r="B322" s="1" t="s">
        <v>24</v>
      </c>
      <c r="C322" s="1" t="s">
        <v>137</v>
      </c>
      <c r="D322" s="1" t="s">
        <v>258</v>
      </c>
      <c r="E322" s="1" t="s">
        <v>259</v>
      </c>
      <c r="F322" s="1" t="s">
        <v>19</v>
      </c>
      <c r="G322" s="1" t="s">
        <v>227</v>
      </c>
      <c r="H322" s="1" t="s">
        <v>222</v>
      </c>
      <c r="I322" s="1" t="s">
        <v>21</v>
      </c>
      <c r="J322" s="3">
        <v>31454</v>
      </c>
      <c r="K322" s="1" t="s">
        <v>145</v>
      </c>
      <c r="L322" s="1" t="s">
        <v>21</v>
      </c>
      <c r="M322" s="1" t="s">
        <v>21</v>
      </c>
      <c r="N322" s="1" t="s">
        <v>137</v>
      </c>
      <c r="O322" s="2">
        <v>43159</v>
      </c>
      <c r="P322" s="2">
        <v>43173</v>
      </c>
      <c r="Q322" s="1" t="s">
        <v>22</v>
      </c>
    </row>
    <row r="323" spans="1:17" x14ac:dyDescent="0.25">
      <c r="A323" s="1" t="s">
        <v>39</v>
      </c>
      <c r="B323" s="1" t="s">
        <v>24</v>
      </c>
      <c r="C323" s="1" t="s">
        <v>137</v>
      </c>
      <c r="D323" s="1" t="s">
        <v>266</v>
      </c>
      <c r="E323" s="1" t="s">
        <v>267</v>
      </c>
      <c r="F323" s="1" t="s">
        <v>19</v>
      </c>
      <c r="G323" s="1" t="s">
        <v>227</v>
      </c>
      <c r="H323" s="1" t="s">
        <v>222</v>
      </c>
      <c r="I323" s="1" t="s">
        <v>21</v>
      </c>
      <c r="J323" s="3">
        <v>275</v>
      </c>
      <c r="K323" s="1" t="s">
        <v>146</v>
      </c>
      <c r="L323" s="1" t="s">
        <v>21</v>
      </c>
      <c r="M323" s="1" t="s">
        <v>21</v>
      </c>
      <c r="N323" s="1" t="s">
        <v>137</v>
      </c>
      <c r="O323" s="2">
        <v>43159</v>
      </c>
      <c r="P323" s="2">
        <v>43173</v>
      </c>
      <c r="Q323" s="1" t="s">
        <v>22</v>
      </c>
    </row>
    <row r="324" spans="1:17" x14ac:dyDescent="0.25">
      <c r="A324" s="1" t="s">
        <v>39</v>
      </c>
      <c r="B324" s="1" t="s">
        <v>288</v>
      </c>
      <c r="C324" s="1" t="s">
        <v>289</v>
      </c>
      <c r="D324" s="1" t="s">
        <v>290</v>
      </c>
      <c r="E324" s="1" t="s">
        <v>288</v>
      </c>
      <c r="F324" s="1" t="s">
        <v>19</v>
      </c>
      <c r="G324" s="1" t="s">
        <v>227</v>
      </c>
      <c r="H324" s="1" t="s">
        <v>222</v>
      </c>
      <c r="I324" s="1" t="s">
        <v>21</v>
      </c>
      <c r="J324" s="3">
        <v>-143432</v>
      </c>
      <c r="K324" s="1" t="s">
        <v>145</v>
      </c>
      <c r="L324" s="1" t="s">
        <v>21</v>
      </c>
      <c r="M324" s="1" t="s">
        <v>21</v>
      </c>
      <c r="N324" s="1" t="s">
        <v>289</v>
      </c>
      <c r="O324" s="2">
        <v>43159</v>
      </c>
      <c r="P324" s="2">
        <v>43173</v>
      </c>
      <c r="Q324" s="1" t="s">
        <v>22</v>
      </c>
    </row>
    <row r="325" spans="1:17" x14ac:dyDescent="0.25">
      <c r="A325" s="1" t="s">
        <v>39</v>
      </c>
      <c r="B325" s="1" t="s">
        <v>24</v>
      </c>
      <c r="C325" s="1" t="s">
        <v>137</v>
      </c>
      <c r="D325" s="1" t="s">
        <v>254</v>
      </c>
      <c r="E325" s="1" t="s">
        <v>56</v>
      </c>
      <c r="F325" s="1" t="s">
        <v>19</v>
      </c>
      <c r="G325" s="1" t="s">
        <v>227</v>
      </c>
      <c r="H325" s="1" t="s">
        <v>222</v>
      </c>
      <c r="I325" s="1" t="s">
        <v>21</v>
      </c>
      <c r="J325" s="3">
        <v>136603</v>
      </c>
      <c r="K325" s="1" t="s">
        <v>140</v>
      </c>
      <c r="L325" s="1" t="s">
        <v>21</v>
      </c>
      <c r="M325" s="1" t="s">
        <v>21</v>
      </c>
      <c r="N325" s="1" t="s">
        <v>137</v>
      </c>
      <c r="O325" s="2">
        <v>43159</v>
      </c>
      <c r="P325" s="2">
        <v>43173</v>
      </c>
      <c r="Q325" s="1" t="s">
        <v>22</v>
      </c>
    </row>
    <row r="326" spans="1:17" x14ac:dyDescent="0.25">
      <c r="A326" s="1" t="s">
        <v>39</v>
      </c>
      <c r="B326" s="1" t="s">
        <v>24</v>
      </c>
      <c r="C326" s="1" t="s">
        <v>137</v>
      </c>
      <c r="D326" s="1" t="s">
        <v>257</v>
      </c>
      <c r="E326" s="1" t="s">
        <v>241</v>
      </c>
      <c r="F326" s="1" t="s">
        <v>19</v>
      </c>
      <c r="G326" s="1" t="s">
        <v>227</v>
      </c>
      <c r="H326" s="1" t="s">
        <v>222</v>
      </c>
      <c r="I326" s="1" t="s">
        <v>21</v>
      </c>
      <c r="J326" s="3">
        <v>93741</v>
      </c>
      <c r="K326" s="1" t="s">
        <v>140</v>
      </c>
      <c r="L326" s="1" t="s">
        <v>21</v>
      </c>
      <c r="M326" s="1" t="s">
        <v>21</v>
      </c>
      <c r="N326" s="1" t="s">
        <v>137</v>
      </c>
      <c r="O326" s="2">
        <v>43159</v>
      </c>
      <c r="P326" s="2">
        <v>43173</v>
      </c>
      <c r="Q326" s="1" t="s">
        <v>22</v>
      </c>
    </row>
    <row r="327" spans="1:17" x14ac:dyDescent="0.25">
      <c r="A327" s="1" t="s">
        <v>39</v>
      </c>
      <c r="B327" s="1" t="s">
        <v>24</v>
      </c>
      <c r="C327" s="1" t="s">
        <v>137</v>
      </c>
      <c r="D327" s="1" t="s">
        <v>266</v>
      </c>
      <c r="E327" s="1" t="s">
        <v>267</v>
      </c>
      <c r="F327" s="1" t="s">
        <v>19</v>
      </c>
      <c r="G327" s="1" t="s">
        <v>227</v>
      </c>
      <c r="H327" s="1" t="s">
        <v>222</v>
      </c>
      <c r="I327" s="1" t="s">
        <v>21</v>
      </c>
      <c r="J327" s="3">
        <v>2719</v>
      </c>
      <c r="K327" s="1" t="s">
        <v>140</v>
      </c>
      <c r="L327" s="1" t="s">
        <v>21</v>
      </c>
      <c r="M327" s="1" t="s">
        <v>21</v>
      </c>
      <c r="N327" s="1" t="s">
        <v>137</v>
      </c>
      <c r="O327" s="2">
        <v>43159</v>
      </c>
      <c r="P327" s="2">
        <v>43173</v>
      </c>
      <c r="Q327" s="1" t="s">
        <v>22</v>
      </c>
    </row>
    <row r="328" spans="1:17" x14ac:dyDescent="0.25">
      <c r="A328" s="1" t="s">
        <v>39</v>
      </c>
      <c r="B328" s="1" t="s">
        <v>24</v>
      </c>
      <c r="C328" s="1" t="s">
        <v>137</v>
      </c>
      <c r="D328" s="1" t="s">
        <v>258</v>
      </c>
      <c r="E328" s="1" t="s">
        <v>259</v>
      </c>
      <c r="F328" s="1" t="s">
        <v>19</v>
      </c>
      <c r="G328" s="1" t="s">
        <v>227</v>
      </c>
      <c r="H328" s="1" t="s">
        <v>222</v>
      </c>
      <c r="I328" s="1" t="s">
        <v>21</v>
      </c>
      <c r="J328" s="3">
        <v>212066</v>
      </c>
      <c r="K328" s="1" t="s">
        <v>140</v>
      </c>
      <c r="L328" s="1" t="s">
        <v>21</v>
      </c>
      <c r="M328" s="1" t="s">
        <v>21</v>
      </c>
      <c r="N328" s="1" t="s">
        <v>137</v>
      </c>
      <c r="O328" s="2">
        <v>43159</v>
      </c>
      <c r="P328" s="2">
        <v>43173</v>
      </c>
      <c r="Q328" s="1" t="s">
        <v>22</v>
      </c>
    </row>
    <row r="329" spans="1:17" x14ac:dyDescent="0.25">
      <c r="A329" s="1" t="s">
        <v>39</v>
      </c>
      <c r="B329" s="1" t="s">
        <v>288</v>
      </c>
      <c r="C329" s="1" t="s">
        <v>289</v>
      </c>
      <c r="D329" s="1" t="s">
        <v>290</v>
      </c>
      <c r="E329" s="1" t="s">
        <v>288</v>
      </c>
      <c r="F329" s="1" t="s">
        <v>19</v>
      </c>
      <c r="G329" s="1" t="s">
        <v>227</v>
      </c>
      <c r="H329" s="1" t="s">
        <v>222</v>
      </c>
      <c r="I329" s="1" t="s">
        <v>21</v>
      </c>
      <c r="J329" s="3">
        <v>-912064</v>
      </c>
      <c r="K329" s="1" t="s">
        <v>140</v>
      </c>
      <c r="L329" s="1" t="s">
        <v>21</v>
      </c>
      <c r="M329" s="1" t="s">
        <v>21</v>
      </c>
      <c r="N329" s="1" t="s">
        <v>289</v>
      </c>
      <c r="O329" s="2">
        <v>43159</v>
      </c>
      <c r="P329" s="2">
        <v>43173</v>
      </c>
      <c r="Q329" s="1" t="s">
        <v>22</v>
      </c>
    </row>
    <row r="330" spans="1:17" x14ac:dyDescent="0.25">
      <c r="A330" s="1" t="s">
        <v>39</v>
      </c>
      <c r="B330" s="1" t="s">
        <v>24</v>
      </c>
      <c r="C330" s="1" t="s">
        <v>137</v>
      </c>
      <c r="D330" s="1" t="s">
        <v>228</v>
      </c>
      <c r="E330" s="1" t="s">
        <v>30</v>
      </c>
      <c r="F330" s="1" t="s">
        <v>19</v>
      </c>
      <c r="G330" s="1" t="s">
        <v>227</v>
      </c>
      <c r="H330" s="1" t="s">
        <v>222</v>
      </c>
      <c r="I330" s="1" t="s">
        <v>21</v>
      </c>
      <c r="J330" s="3">
        <v>31793</v>
      </c>
      <c r="K330" s="1" t="s">
        <v>140</v>
      </c>
      <c r="L330" s="1" t="s">
        <v>21</v>
      </c>
      <c r="M330" s="1" t="s">
        <v>21</v>
      </c>
      <c r="N330" s="1" t="s">
        <v>137</v>
      </c>
      <c r="O330" s="2">
        <v>43159</v>
      </c>
      <c r="P330" s="2">
        <v>43173</v>
      </c>
      <c r="Q330" s="1" t="s">
        <v>22</v>
      </c>
    </row>
    <row r="331" spans="1:17" x14ac:dyDescent="0.25">
      <c r="A331" s="1" t="s">
        <v>39</v>
      </c>
      <c r="B331" s="1" t="s">
        <v>24</v>
      </c>
      <c r="C331" s="1" t="s">
        <v>137</v>
      </c>
      <c r="D331" s="1" t="s">
        <v>260</v>
      </c>
      <c r="E331" s="1" t="s">
        <v>261</v>
      </c>
      <c r="F331" s="1" t="s">
        <v>19</v>
      </c>
      <c r="G331" s="1" t="s">
        <v>227</v>
      </c>
      <c r="H331" s="1" t="s">
        <v>222</v>
      </c>
      <c r="I331" s="1" t="s">
        <v>21</v>
      </c>
      <c r="J331" s="3">
        <v>2142</v>
      </c>
      <c r="K331" s="1" t="s">
        <v>140</v>
      </c>
      <c r="L331" s="1" t="s">
        <v>21</v>
      </c>
      <c r="M331" s="1" t="s">
        <v>21</v>
      </c>
      <c r="N331" s="1" t="s">
        <v>137</v>
      </c>
      <c r="O331" s="2">
        <v>43159</v>
      </c>
      <c r="P331" s="2">
        <v>43173</v>
      </c>
      <c r="Q331" s="1" t="s">
        <v>22</v>
      </c>
    </row>
    <row r="332" spans="1:17" x14ac:dyDescent="0.25">
      <c r="A332" s="1" t="s">
        <v>39</v>
      </c>
      <c r="B332" s="1" t="s">
        <v>24</v>
      </c>
      <c r="C332" s="1" t="s">
        <v>137</v>
      </c>
      <c r="D332" s="1" t="s">
        <v>255</v>
      </c>
      <c r="E332" s="1" t="s">
        <v>256</v>
      </c>
      <c r="F332" s="1" t="s">
        <v>19</v>
      </c>
      <c r="G332" s="1" t="s">
        <v>227</v>
      </c>
      <c r="H332" s="1" t="s">
        <v>222</v>
      </c>
      <c r="I332" s="1" t="s">
        <v>21</v>
      </c>
      <c r="J332" s="3">
        <v>313713</v>
      </c>
      <c r="K332" s="1" t="s">
        <v>140</v>
      </c>
      <c r="L332" s="1" t="s">
        <v>21</v>
      </c>
      <c r="M332" s="1" t="s">
        <v>21</v>
      </c>
      <c r="N332" s="1" t="s">
        <v>137</v>
      </c>
      <c r="O332" s="2">
        <v>43159</v>
      </c>
      <c r="P332" s="2">
        <v>43173</v>
      </c>
      <c r="Q332" s="1" t="s">
        <v>22</v>
      </c>
    </row>
    <row r="333" spans="1:17" x14ac:dyDescent="0.25">
      <c r="A333" s="1" t="s">
        <v>39</v>
      </c>
      <c r="B333" s="1" t="s">
        <v>24</v>
      </c>
      <c r="C333" s="1" t="s">
        <v>137</v>
      </c>
      <c r="D333" s="1" t="s">
        <v>258</v>
      </c>
      <c r="E333" s="1" t="s">
        <v>259</v>
      </c>
      <c r="F333" s="1" t="s">
        <v>19</v>
      </c>
      <c r="G333" s="1" t="s">
        <v>227</v>
      </c>
      <c r="H333" s="1" t="s">
        <v>222</v>
      </c>
      <c r="I333" s="1" t="s">
        <v>21</v>
      </c>
      <c r="J333" s="3">
        <v>94444</v>
      </c>
      <c r="K333" s="1" t="s">
        <v>139</v>
      </c>
      <c r="L333" s="1" t="s">
        <v>21</v>
      </c>
      <c r="M333" s="1" t="s">
        <v>21</v>
      </c>
      <c r="N333" s="1" t="s">
        <v>137</v>
      </c>
      <c r="O333" s="2">
        <v>43159</v>
      </c>
      <c r="P333" s="2">
        <v>43173</v>
      </c>
      <c r="Q333" s="1" t="s">
        <v>22</v>
      </c>
    </row>
    <row r="334" spans="1:17" x14ac:dyDescent="0.25">
      <c r="A334" s="1" t="s">
        <v>39</v>
      </c>
      <c r="B334" s="1" t="s">
        <v>288</v>
      </c>
      <c r="C334" s="1" t="s">
        <v>289</v>
      </c>
      <c r="D334" s="1" t="s">
        <v>290</v>
      </c>
      <c r="E334" s="1" t="s">
        <v>288</v>
      </c>
      <c r="F334" s="1" t="s">
        <v>19</v>
      </c>
      <c r="G334" s="1" t="s">
        <v>227</v>
      </c>
      <c r="H334" s="1" t="s">
        <v>222</v>
      </c>
      <c r="I334" s="1" t="s">
        <v>21</v>
      </c>
      <c r="J334" s="3">
        <v>-384313</v>
      </c>
      <c r="K334" s="1" t="s">
        <v>139</v>
      </c>
      <c r="L334" s="1" t="s">
        <v>21</v>
      </c>
      <c r="M334" s="1" t="s">
        <v>21</v>
      </c>
      <c r="N334" s="1" t="s">
        <v>289</v>
      </c>
      <c r="O334" s="2">
        <v>43159</v>
      </c>
      <c r="P334" s="2">
        <v>43173</v>
      </c>
      <c r="Q334" s="1" t="s">
        <v>22</v>
      </c>
    </row>
    <row r="335" spans="1:17" x14ac:dyDescent="0.25">
      <c r="A335" s="1" t="s">
        <v>39</v>
      </c>
      <c r="B335" s="1" t="s">
        <v>24</v>
      </c>
      <c r="C335" s="1" t="s">
        <v>137</v>
      </c>
      <c r="D335" s="1" t="s">
        <v>228</v>
      </c>
      <c r="E335" s="1" t="s">
        <v>30</v>
      </c>
      <c r="F335" s="1" t="s">
        <v>19</v>
      </c>
      <c r="G335" s="1" t="s">
        <v>227</v>
      </c>
      <c r="H335" s="1" t="s">
        <v>222</v>
      </c>
      <c r="I335" s="1" t="s">
        <v>21</v>
      </c>
      <c r="J335" s="3">
        <v>15039</v>
      </c>
      <c r="K335" s="1" t="s">
        <v>139</v>
      </c>
      <c r="L335" s="1" t="s">
        <v>21</v>
      </c>
      <c r="M335" s="1" t="s">
        <v>21</v>
      </c>
      <c r="N335" s="1" t="s">
        <v>137</v>
      </c>
      <c r="O335" s="2">
        <v>43159</v>
      </c>
      <c r="P335" s="2">
        <v>43173</v>
      </c>
      <c r="Q335" s="1" t="s">
        <v>22</v>
      </c>
    </row>
    <row r="336" spans="1:17" x14ac:dyDescent="0.25">
      <c r="A336" s="1" t="s">
        <v>39</v>
      </c>
      <c r="B336" s="1" t="s">
        <v>24</v>
      </c>
      <c r="C336" s="1" t="s">
        <v>137</v>
      </c>
      <c r="D336" s="1" t="s">
        <v>252</v>
      </c>
      <c r="E336" s="1" t="s">
        <v>253</v>
      </c>
      <c r="F336" s="1" t="s">
        <v>19</v>
      </c>
      <c r="G336" s="1" t="s">
        <v>227</v>
      </c>
      <c r="H336" s="1" t="s">
        <v>222</v>
      </c>
      <c r="I336" s="1" t="s">
        <v>21</v>
      </c>
      <c r="J336" s="3">
        <v>35794</v>
      </c>
      <c r="K336" s="1" t="s">
        <v>139</v>
      </c>
      <c r="L336" s="1" t="s">
        <v>21</v>
      </c>
      <c r="M336" s="1" t="s">
        <v>21</v>
      </c>
      <c r="N336" s="1" t="s">
        <v>137</v>
      </c>
      <c r="O336" s="2">
        <v>43159</v>
      </c>
      <c r="P336" s="2">
        <v>43173</v>
      </c>
      <c r="Q336" s="1" t="s">
        <v>22</v>
      </c>
    </row>
    <row r="337" spans="1:17" x14ac:dyDescent="0.25">
      <c r="A337" s="1" t="s">
        <v>39</v>
      </c>
      <c r="B337" s="1" t="s">
        <v>24</v>
      </c>
      <c r="C337" s="1" t="s">
        <v>137</v>
      </c>
      <c r="D337" s="1" t="s">
        <v>229</v>
      </c>
      <c r="E337" s="1" t="s">
        <v>18</v>
      </c>
      <c r="F337" s="1" t="s">
        <v>19</v>
      </c>
      <c r="G337" s="1" t="s">
        <v>227</v>
      </c>
      <c r="H337" s="1" t="s">
        <v>222</v>
      </c>
      <c r="I337" s="1" t="s">
        <v>21</v>
      </c>
      <c r="J337" s="3">
        <v>18384</v>
      </c>
      <c r="K337" s="1" t="s">
        <v>139</v>
      </c>
      <c r="L337" s="1" t="s">
        <v>21</v>
      </c>
      <c r="M337" s="1" t="s">
        <v>21</v>
      </c>
      <c r="N337" s="1" t="s">
        <v>137</v>
      </c>
      <c r="O337" s="2">
        <v>43159</v>
      </c>
      <c r="P337" s="2">
        <v>43173</v>
      </c>
      <c r="Q337" s="1" t="s">
        <v>22</v>
      </c>
    </row>
    <row r="338" spans="1:17" x14ac:dyDescent="0.25">
      <c r="A338" s="1" t="s">
        <v>39</v>
      </c>
      <c r="B338" s="1" t="s">
        <v>24</v>
      </c>
      <c r="C338" s="1" t="s">
        <v>137</v>
      </c>
      <c r="D338" s="1" t="s">
        <v>254</v>
      </c>
      <c r="E338" s="1" t="s">
        <v>56</v>
      </c>
      <c r="F338" s="1" t="s">
        <v>19</v>
      </c>
      <c r="G338" s="1" t="s">
        <v>227</v>
      </c>
      <c r="H338" s="1" t="s">
        <v>222</v>
      </c>
      <c r="I338" s="1" t="s">
        <v>21</v>
      </c>
      <c r="J338" s="3">
        <v>43360</v>
      </c>
      <c r="K338" s="1" t="s">
        <v>139</v>
      </c>
      <c r="L338" s="1" t="s">
        <v>21</v>
      </c>
      <c r="M338" s="1" t="s">
        <v>21</v>
      </c>
      <c r="N338" s="1" t="s">
        <v>137</v>
      </c>
      <c r="O338" s="2">
        <v>43159</v>
      </c>
      <c r="P338" s="2">
        <v>43173</v>
      </c>
      <c r="Q338" s="1" t="s">
        <v>22</v>
      </c>
    </row>
    <row r="339" spans="1:17" x14ac:dyDescent="0.25">
      <c r="A339" s="1" t="s">
        <v>39</v>
      </c>
      <c r="B339" s="1" t="s">
        <v>24</v>
      </c>
      <c r="C339" s="1" t="s">
        <v>137</v>
      </c>
      <c r="D339" s="1" t="s">
        <v>257</v>
      </c>
      <c r="E339" s="1" t="s">
        <v>241</v>
      </c>
      <c r="F339" s="1" t="s">
        <v>19</v>
      </c>
      <c r="G339" s="1" t="s">
        <v>227</v>
      </c>
      <c r="H339" s="1" t="s">
        <v>222</v>
      </c>
      <c r="I339" s="1" t="s">
        <v>21</v>
      </c>
      <c r="J339" s="3">
        <v>38201</v>
      </c>
      <c r="K339" s="1" t="s">
        <v>139</v>
      </c>
      <c r="L339" s="1" t="s">
        <v>21</v>
      </c>
      <c r="M339" s="1" t="s">
        <v>21</v>
      </c>
      <c r="N339" s="1" t="s">
        <v>137</v>
      </c>
      <c r="O339" s="2">
        <v>43159</v>
      </c>
      <c r="P339" s="2">
        <v>43173</v>
      </c>
      <c r="Q339" s="1" t="s">
        <v>22</v>
      </c>
    </row>
    <row r="340" spans="1:17" x14ac:dyDescent="0.25">
      <c r="A340" s="1" t="s">
        <v>39</v>
      </c>
      <c r="B340" s="1" t="s">
        <v>24</v>
      </c>
      <c r="C340" s="1" t="s">
        <v>137</v>
      </c>
      <c r="D340" s="1" t="s">
        <v>255</v>
      </c>
      <c r="E340" s="1" t="s">
        <v>256</v>
      </c>
      <c r="F340" s="1" t="s">
        <v>19</v>
      </c>
      <c r="G340" s="1" t="s">
        <v>227</v>
      </c>
      <c r="H340" s="1" t="s">
        <v>222</v>
      </c>
      <c r="I340" s="1" t="s">
        <v>21</v>
      </c>
      <c r="J340" s="3">
        <v>136850</v>
      </c>
      <c r="K340" s="1" t="s">
        <v>139</v>
      </c>
      <c r="L340" s="1" t="s">
        <v>21</v>
      </c>
      <c r="M340" s="1" t="s">
        <v>21</v>
      </c>
      <c r="N340" s="1" t="s">
        <v>137</v>
      </c>
      <c r="O340" s="2">
        <v>43159</v>
      </c>
      <c r="P340" s="2">
        <v>43173</v>
      </c>
      <c r="Q340" s="1" t="s">
        <v>22</v>
      </c>
    </row>
    <row r="341" spans="1:17" x14ac:dyDescent="0.25">
      <c r="A341" s="1" t="s">
        <v>39</v>
      </c>
      <c r="B341" s="1" t="s">
        <v>24</v>
      </c>
      <c r="C341" s="1" t="s">
        <v>137</v>
      </c>
      <c r="D341" s="1" t="s">
        <v>260</v>
      </c>
      <c r="E341" s="1" t="s">
        <v>261</v>
      </c>
      <c r="F341" s="1" t="s">
        <v>19</v>
      </c>
      <c r="G341" s="1" t="s">
        <v>227</v>
      </c>
      <c r="H341" s="1" t="s">
        <v>222</v>
      </c>
      <c r="I341" s="1" t="s">
        <v>21</v>
      </c>
      <c r="J341" s="3">
        <v>958</v>
      </c>
      <c r="K341" s="1" t="s">
        <v>139</v>
      </c>
      <c r="L341" s="1" t="s">
        <v>21</v>
      </c>
      <c r="M341" s="1" t="s">
        <v>21</v>
      </c>
      <c r="N341" s="1" t="s">
        <v>137</v>
      </c>
      <c r="O341" s="2">
        <v>43159</v>
      </c>
      <c r="P341" s="2">
        <v>43173</v>
      </c>
      <c r="Q341" s="1" t="s">
        <v>22</v>
      </c>
    </row>
    <row r="342" spans="1:17" x14ac:dyDescent="0.25">
      <c r="A342" s="1" t="s">
        <v>39</v>
      </c>
      <c r="B342" s="1" t="s">
        <v>24</v>
      </c>
      <c r="C342" s="1" t="s">
        <v>137</v>
      </c>
      <c r="D342" s="1" t="s">
        <v>266</v>
      </c>
      <c r="E342" s="1" t="s">
        <v>267</v>
      </c>
      <c r="F342" s="1" t="s">
        <v>19</v>
      </c>
      <c r="G342" s="1" t="s">
        <v>227</v>
      </c>
      <c r="H342" s="1" t="s">
        <v>222</v>
      </c>
      <c r="I342" s="1" t="s">
        <v>21</v>
      </c>
      <c r="J342" s="3">
        <v>1283</v>
      </c>
      <c r="K342" s="1" t="s">
        <v>139</v>
      </c>
      <c r="L342" s="1" t="s">
        <v>21</v>
      </c>
      <c r="M342" s="1" t="s">
        <v>21</v>
      </c>
      <c r="N342" s="1" t="s">
        <v>137</v>
      </c>
      <c r="O342" s="2">
        <v>43159</v>
      </c>
      <c r="P342" s="2">
        <v>43173</v>
      </c>
      <c r="Q342" s="1" t="s">
        <v>22</v>
      </c>
    </row>
    <row r="343" spans="1:17" x14ac:dyDescent="0.25">
      <c r="A343" s="1" t="s">
        <v>39</v>
      </c>
      <c r="B343" s="1" t="s">
        <v>24</v>
      </c>
      <c r="C343" s="1" t="s">
        <v>137</v>
      </c>
      <c r="D343" s="1" t="s">
        <v>258</v>
      </c>
      <c r="E343" s="1" t="s">
        <v>259</v>
      </c>
      <c r="F343" s="1" t="s">
        <v>19</v>
      </c>
      <c r="G343" s="1" t="s">
        <v>227</v>
      </c>
      <c r="H343" s="1" t="s">
        <v>222</v>
      </c>
      <c r="I343" s="1" t="s">
        <v>21</v>
      </c>
      <c r="J343" s="3">
        <v>65420</v>
      </c>
      <c r="K343" s="1" t="s">
        <v>138</v>
      </c>
      <c r="L343" s="1" t="s">
        <v>21</v>
      </c>
      <c r="M343" s="1" t="s">
        <v>21</v>
      </c>
      <c r="N343" s="1" t="s">
        <v>137</v>
      </c>
      <c r="O343" s="2">
        <v>43159</v>
      </c>
      <c r="P343" s="2">
        <v>43173</v>
      </c>
      <c r="Q343" s="1" t="s">
        <v>22</v>
      </c>
    </row>
    <row r="344" spans="1:17" x14ac:dyDescent="0.25">
      <c r="A344" s="1" t="s">
        <v>39</v>
      </c>
      <c r="B344" s="1" t="s">
        <v>24</v>
      </c>
      <c r="C344" s="1" t="s">
        <v>137</v>
      </c>
      <c r="D344" s="1" t="s">
        <v>266</v>
      </c>
      <c r="E344" s="1" t="s">
        <v>267</v>
      </c>
      <c r="F344" s="1" t="s">
        <v>19</v>
      </c>
      <c r="G344" s="1" t="s">
        <v>227</v>
      </c>
      <c r="H344" s="1" t="s">
        <v>222</v>
      </c>
      <c r="I344" s="1" t="s">
        <v>21</v>
      </c>
      <c r="J344" s="3">
        <v>502</v>
      </c>
      <c r="K344" s="1" t="s">
        <v>145</v>
      </c>
      <c r="L344" s="1" t="s">
        <v>21</v>
      </c>
      <c r="M344" s="1" t="s">
        <v>21</v>
      </c>
      <c r="N344" s="1" t="s">
        <v>137</v>
      </c>
      <c r="O344" s="2">
        <v>43159</v>
      </c>
      <c r="P344" s="2">
        <v>43173</v>
      </c>
      <c r="Q344" s="1" t="s">
        <v>22</v>
      </c>
    </row>
    <row r="345" spans="1:17" x14ac:dyDescent="0.25">
      <c r="A345" s="1" t="s">
        <v>39</v>
      </c>
      <c r="B345" s="1" t="s">
        <v>24</v>
      </c>
      <c r="C345" s="1" t="s">
        <v>137</v>
      </c>
      <c r="D345" s="1" t="s">
        <v>257</v>
      </c>
      <c r="E345" s="1" t="s">
        <v>241</v>
      </c>
      <c r="F345" s="1" t="s">
        <v>19</v>
      </c>
      <c r="G345" s="1" t="s">
        <v>227</v>
      </c>
      <c r="H345" s="1" t="s">
        <v>222</v>
      </c>
      <c r="I345" s="1" t="s">
        <v>21</v>
      </c>
      <c r="J345" s="3">
        <v>12930</v>
      </c>
      <c r="K345" s="1" t="s">
        <v>146</v>
      </c>
      <c r="L345" s="1" t="s">
        <v>21</v>
      </c>
      <c r="M345" s="1" t="s">
        <v>21</v>
      </c>
      <c r="N345" s="1" t="s">
        <v>137</v>
      </c>
      <c r="O345" s="2">
        <v>43159</v>
      </c>
      <c r="P345" s="2">
        <v>43173</v>
      </c>
      <c r="Q345" s="1" t="s">
        <v>22</v>
      </c>
    </row>
    <row r="346" spans="1:17" x14ac:dyDescent="0.25">
      <c r="A346" s="1" t="s">
        <v>39</v>
      </c>
      <c r="B346" s="1" t="s">
        <v>288</v>
      </c>
      <c r="C346" s="1" t="s">
        <v>289</v>
      </c>
      <c r="D346" s="1" t="s">
        <v>290</v>
      </c>
      <c r="E346" s="1" t="s">
        <v>288</v>
      </c>
      <c r="F346" s="1" t="s">
        <v>19</v>
      </c>
      <c r="G346" s="1" t="s">
        <v>227</v>
      </c>
      <c r="H346" s="1" t="s">
        <v>222</v>
      </c>
      <c r="I346" s="1" t="s">
        <v>21</v>
      </c>
      <c r="J346" s="3">
        <v>-271234</v>
      </c>
      <c r="K346" s="1" t="s">
        <v>138</v>
      </c>
      <c r="L346" s="1" t="s">
        <v>21</v>
      </c>
      <c r="M346" s="1" t="s">
        <v>21</v>
      </c>
      <c r="N346" s="1" t="s">
        <v>289</v>
      </c>
      <c r="O346" s="2">
        <v>43159</v>
      </c>
      <c r="P346" s="2">
        <v>43173</v>
      </c>
      <c r="Q346" s="1" t="s">
        <v>22</v>
      </c>
    </row>
    <row r="347" spans="1:17" x14ac:dyDescent="0.25">
      <c r="A347" s="1" t="s">
        <v>39</v>
      </c>
      <c r="B347" s="1" t="s">
        <v>24</v>
      </c>
      <c r="C347" s="1" t="s">
        <v>137</v>
      </c>
      <c r="D347" s="1" t="s">
        <v>254</v>
      </c>
      <c r="E347" s="1" t="s">
        <v>56</v>
      </c>
      <c r="F347" s="1" t="s">
        <v>19</v>
      </c>
      <c r="G347" s="1" t="s">
        <v>227</v>
      </c>
      <c r="H347" s="1" t="s">
        <v>222</v>
      </c>
      <c r="I347" s="1" t="s">
        <v>21</v>
      </c>
      <c r="J347" s="3">
        <v>38958</v>
      </c>
      <c r="K347" s="1" t="s">
        <v>138</v>
      </c>
      <c r="L347" s="1" t="s">
        <v>21</v>
      </c>
      <c r="M347" s="1" t="s">
        <v>21</v>
      </c>
      <c r="N347" s="1" t="s">
        <v>137</v>
      </c>
      <c r="O347" s="2">
        <v>43159</v>
      </c>
      <c r="P347" s="2">
        <v>43173</v>
      </c>
      <c r="Q347" s="1" t="s">
        <v>22</v>
      </c>
    </row>
    <row r="348" spans="1:17" x14ac:dyDescent="0.25">
      <c r="A348" s="1" t="s">
        <v>39</v>
      </c>
      <c r="B348" s="1" t="s">
        <v>24</v>
      </c>
      <c r="C348" s="1" t="s">
        <v>137</v>
      </c>
      <c r="D348" s="1" t="s">
        <v>252</v>
      </c>
      <c r="E348" s="1" t="s">
        <v>253</v>
      </c>
      <c r="F348" s="1" t="s">
        <v>19</v>
      </c>
      <c r="G348" s="1" t="s">
        <v>227</v>
      </c>
      <c r="H348" s="1" t="s">
        <v>222</v>
      </c>
      <c r="I348" s="1" t="s">
        <v>21</v>
      </c>
      <c r="J348" s="3">
        <v>13205</v>
      </c>
      <c r="K348" s="1" t="s">
        <v>145</v>
      </c>
      <c r="L348" s="1" t="s">
        <v>21</v>
      </c>
      <c r="M348" s="1" t="s">
        <v>21</v>
      </c>
      <c r="N348" s="1" t="s">
        <v>137</v>
      </c>
      <c r="O348" s="2">
        <v>43159</v>
      </c>
      <c r="P348" s="2">
        <v>43173</v>
      </c>
      <c r="Q348" s="1" t="s">
        <v>22</v>
      </c>
    </row>
    <row r="349" spans="1:17" x14ac:dyDescent="0.25">
      <c r="A349" s="1" t="s">
        <v>39</v>
      </c>
      <c r="B349" s="1" t="s">
        <v>24</v>
      </c>
      <c r="C349" s="1" t="s">
        <v>137</v>
      </c>
      <c r="D349" s="1" t="s">
        <v>229</v>
      </c>
      <c r="E349" s="1" t="s">
        <v>18</v>
      </c>
      <c r="F349" s="1" t="s">
        <v>19</v>
      </c>
      <c r="G349" s="1" t="s">
        <v>227</v>
      </c>
      <c r="H349" s="1" t="s">
        <v>222</v>
      </c>
      <c r="I349" s="1" t="s">
        <v>21</v>
      </c>
      <c r="J349" s="3">
        <v>5932</v>
      </c>
      <c r="K349" s="1" t="s">
        <v>145</v>
      </c>
      <c r="L349" s="1" t="s">
        <v>21</v>
      </c>
      <c r="M349" s="1" t="s">
        <v>21</v>
      </c>
      <c r="N349" s="1" t="s">
        <v>137</v>
      </c>
      <c r="O349" s="2">
        <v>43159</v>
      </c>
      <c r="P349" s="2">
        <v>43173</v>
      </c>
      <c r="Q349" s="1" t="s">
        <v>22</v>
      </c>
    </row>
    <row r="350" spans="1:17" x14ac:dyDescent="0.25">
      <c r="A350" s="1" t="s">
        <v>39</v>
      </c>
      <c r="B350" s="1" t="s">
        <v>24</v>
      </c>
      <c r="C350" s="1" t="s">
        <v>137</v>
      </c>
      <c r="D350" s="1" t="s">
        <v>228</v>
      </c>
      <c r="E350" s="1" t="s">
        <v>30</v>
      </c>
      <c r="F350" s="1" t="s">
        <v>19</v>
      </c>
      <c r="G350" s="1" t="s">
        <v>227</v>
      </c>
      <c r="H350" s="1" t="s">
        <v>222</v>
      </c>
      <c r="I350" s="1" t="s">
        <v>21</v>
      </c>
      <c r="J350" s="3">
        <v>5272</v>
      </c>
      <c r="K350" s="1" t="s">
        <v>146</v>
      </c>
      <c r="L350" s="1" t="s">
        <v>21</v>
      </c>
      <c r="M350" s="1" t="s">
        <v>21</v>
      </c>
      <c r="N350" s="1" t="s">
        <v>137</v>
      </c>
      <c r="O350" s="2">
        <v>43159</v>
      </c>
      <c r="P350" s="2">
        <v>43173</v>
      </c>
      <c r="Q350" s="1" t="s">
        <v>22</v>
      </c>
    </row>
    <row r="351" spans="1:17" x14ac:dyDescent="0.25">
      <c r="A351" s="1" t="s">
        <v>39</v>
      </c>
      <c r="B351" s="1" t="s">
        <v>24</v>
      </c>
      <c r="C351" s="1" t="s">
        <v>137</v>
      </c>
      <c r="D351" s="1" t="s">
        <v>228</v>
      </c>
      <c r="E351" s="1" t="s">
        <v>30</v>
      </c>
      <c r="F351" s="1" t="s">
        <v>19</v>
      </c>
      <c r="G351" s="1" t="s">
        <v>227</v>
      </c>
      <c r="H351" s="1" t="s">
        <v>222</v>
      </c>
      <c r="I351" s="1" t="s">
        <v>21</v>
      </c>
      <c r="J351" s="3">
        <v>15437</v>
      </c>
      <c r="K351" s="1" t="s">
        <v>138</v>
      </c>
      <c r="L351" s="1" t="s">
        <v>21</v>
      </c>
      <c r="M351" s="1" t="s">
        <v>21</v>
      </c>
      <c r="N351" s="1" t="s">
        <v>137</v>
      </c>
      <c r="O351" s="2">
        <v>43159</v>
      </c>
      <c r="P351" s="2">
        <v>43173</v>
      </c>
      <c r="Q351" s="1" t="s">
        <v>22</v>
      </c>
    </row>
    <row r="352" spans="1:17" x14ac:dyDescent="0.25">
      <c r="A352" s="1" t="s">
        <v>39</v>
      </c>
      <c r="B352" s="1" t="s">
        <v>24</v>
      </c>
      <c r="C352" s="1" t="s">
        <v>137</v>
      </c>
      <c r="D352" s="1" t="s">
        <v>260</v>
      </c>
      <c r="E352" s="1" t="s">
        <v>261</v>
      </c>
      <c r="F352" s="1" t="s">
        <v>19</v>
      </c>
      <c r="G352" s="1" t="s">
        <v>227</v>
      </c>
      <c r="H352" s="1" t="s">
        <v>222</v>
      </c>
      <c r="I352" s="1" t="s">
        <v>21</v>
      </c>
      <c r="J352" s="3">
        <v>421</v>
      </c>
      <c r="K352" s="1" t="s">
        <v>145</v>
      </c>
      <c r="L352" s="1" t="s">
        <v>21</v>
      </c>
      <c r="M352" s="1" t="s">
        <v>21</v>
      </c>
      <c r="N352" s="1" t="s">
        <v>137</v>
      </c>
      <c r="O352" s="2">
        <v>43159</v>
      </c>
      <c r="P352" s="2">
        <v>43173</v>
      </c>
      <c r="Q352" s="1" t="s">
        <v>22</v>
      </c>
    </row>
    <row r="353" spans="1:17" x14ac:dyDescent="0.25">
      <c r="A353" s="1" t="s">
        <v>39</v>
      </c>
      <c r="B353" s="1" t="s">
        <v>24</v>
      </c>
      <c r="C353" s="1" t="s">
        <v>137</v>
      </c>
      <c r="D353" s="1" t="s">
        <v>258</v>
      </c>
      <c r="E353" s="1" t="s">
        <v>259</v>
      </c>
      <c r="F353" s="1" t="s">
        <v>19</v>
      </c>
      <c r="G353" s="1" t="s">
        <v>227</v>
      </c>
      <c r="H353" s="1" t="s">
        <v>222</v>
      </c>
      <c r="I353" s="1" t="s">
        <v>21</v>
      </c>
      <c r="J353" s="3">
        <v>30603</v>
      </c>
      <c r="K353" s="1" t="s">
        <v>146</v>
      </c>
      <c r="L353" s="1" t="s">
        <v>21</v>
      </c>
      <c r="M353" s="1" t="s">
        <v>21</v>
      </c>
      <c r="N353" s="1" t="s">
        <v>137</v>
      </c>
      <c r="O353" s="2">
        <v>43159</v>
      </c>
      <c r="P353" s="2">
        <v>43173</v>
      </c>
      <c r="Q353" s="1" t="s">
        <v>22</v>
      </c>
    </row>
    <row r="354" spans="1:17" x14ac:dyDescent="0.25">
      <c r="A354" s="1" t="s">
        <v>39</v>
      </c>
      <c r="B354" s="1" t="s">
        <v>288</v>
      </c>
      <c r="C354" s="1" t="s">
        <v>289</v>
      </c>
      <c r="D354" s="1" t="s">
        <v>290</v>
      </c>
      <c r="E354" s="1" t="s">
        <v>288</v>
      </c>
      <c r="F354" s="1" t="s">
        <v>19</v>
      </c>
      <c r="G354" s="1" t="s">
        <v>227</v>
      </c>
      <c r="H354" s="1" t="s">
        <v>222</v>
      </c>
      <c r="I354" s="1" t="s">
        <v>21</v>
      </c>
      <c r="J354" s="3">
        <v>-122243</v>
      </c>
      <c r="K354" s="1" t="s">
        <v>146</v>
      </c>
      <c r="L354" s="1" t="s">
        <v>21</v>
      </c>
      <c r="M354" s="1" t="s">
        <v>21</v>
      </c>
      <c r="N354" s="1" t="s">
        <v>289</v>
      </c>
      <c r="O354" s="2">
        <v>43159</v>
      </c>
      <c r="P354" s="2">
        <v>43173</v>
      </c>
      <c r="Q354" s="1" t="s">
        <v>22</v>
      </c>
    </row>
    <row r="355" spans="1:17" x14ac:dyDescent="0.25">
      <c r="A355" s="1" t="s">
        <v>39</v>
      </c>
      <c r="B355" s="1" t="s">
        <v>24</v>
      </c>
      <c r="C355" s="1" t="s">
        <v>137</v>
      </c>
      <c r="D355" s="1" t="s">
        <v>252</v>
      </c>
      <c r="E355" s="1" t="s">
        <v>253</v>
      </c>
      <c r="F355" s="1" t="s">
        <v>19</v>
      </c>
      <c r="G355" s="1" t="s">
        <v>227</v>
      </c>
      <c r="H355" s="1" t="s">
        <v>222</v>
      </c>
      <c r="I355" s="1" t="s">
        <v>21</v>
      </c>
      <c r="J355" s="3">
        <v>82742</v>
      </c>
      <c r="K355" s="1" t="s">
        <v>140</v>
      </c>
      <c r="L355" s="1" t="s">
        <v>21</v>
      </c>
      <c r="M355" s="1" t="s">
        <v>21</v>
      </c>
      <c r="N355" s="1" t="s">
        <v>137</v>
      </c>
      <c r="O355" s="2">
        <v>43159</v>
      </c>
      <c r="P355" s="2">
        <v>43173</v>
      </c>
      <c r="Q355" s="1" t="s">
        <v>22</v>
      </c>
    </row>
    <row r="356" spans="1:17" x14ac:dyDescent="0.25">
      <c r="A356" s="1" t="s">
        <v>39</v>
      </c>
      <c r="B356" s="1" t="s">
        <v>24</v>
      </c>
      <c r="C356" s="1" t="s">
        <v>137</v>
      </c>
      <c r="D356" s="1" t="s">
        <v>229</v>
      </c>
      <c r="E356" s="1" t="s">
        <v>18</v>
      </c>
      <c r="F356" s="1" t="s">
        <v>19</v>
      </c>
      <c r="G356" s="1" t="s">
        <v>227</v>
      </c>
      <c r="H356" s="1" t="s">
        <v>222</v>
      </c>
      <c r="I356" s="1" t="s">
        <v>21</v>
      </c>
      <c r="J356" s="3">
        <v>36545</v>
      </c>
      <c r="K356" s="1" t="s">
        <v>140</v>
      </c>
      <c r="L356" s="1" t="s">
        <v>21</v>
      </c>
      <c r="M356" s="1" t="s">
        <v>21</v>
      </c>
      <c r="N356" s="1" t="s">
        <v>137</v>
      </c>
      <c r="O356" s="2">
        <v>43159</v>
      </c>
      <c r="P356" s="2">
        <v>43173</v>
      </c>
      <c r="Q356" s="1" t="s">
        <v>22</v>
      </c>
    </row>
  </sheetData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9" sqref="E9"/>
    </sheetView>
  </sheetViews>
  <sheetFormatPr defaultColWidth="9.140625" defaultRowHeight="12.75" x14ac:dyDescent="0.2"/>
  <cols>
    <col min="1" max="1" width="13.85546875" style="137" bestFit="1" customWidth="1"/>
    <col min="2" max="2" width="22.28515625" style="137" customWidth="1"/>
    <col min="3" max="3" width="37.85546875" style="137" customWidth="1"/>
    <col min="4" max="4" width="16" style="137" customWidth="1"/>
    <col min="5" max="5" width="16.42578125" style="137" customWidth="1"/>
    <col min="6" max="6" width="16" style="137" customWidth="1"/>
    <col min="7" max="16384" width="9.140625" style="137"/>
  </cols>
  <sheetData>
    <row r="1" spans="1:7" ht="12.75" customHeight="1" x14ac:dyDescent="0.2">
      <c r="B1" s="372" t="s">
        <v>417</v>
      </c>
      <c r="C1" s="373"/>
      <c r="D1" s="373"/>
      <c r="E1" s="373"/>
      <c r="F1" s="373"/>
    </row>
    <row r="2" spans="1:7" ht="18" customHeight="1" x14ac:dyDescent="0.25">
      <c r="B2" s="370" t="s">
        <v>189</v>
      </c>
      <c r="C2" s="373"/>
      <c r="D2" s="373"/>
      <c r="E2" s="373"/>
      <c r="F2" s="373"/>
      <c r="G2" s="137" t="s">
        <v>21</v>
      </c>
    </row>
    <row r="3" spans="1:7" ht="15" customHeight="1" x14ac:dyDescent="0.2">
      <c r="B3" s="371" t="s">
        <v>188</v>
      </c>
      <c r="C3" s="373"/>
      <c r="D3" s="373"/>
      <c r="E3" s="373"/>
      <c r="F3" s="373"/>
      <c r="G3" s="137" t="s">
        <v>21</v>
      </c>
    </row>
    <row r="4" spans="1:7" ht="15" customHeight="1" x14ac:dyDescent="0.2">
      <c r="B4" s="371" t="s">
        <v>418</v>
      </c>
      <c r="C4" s="373"/>
      <c r="D4" s="373"/>
      <c r="E4" s="373"/>
      <c r="F4" s="373"/>
      <c r="G4" s="137" t="s">
        <v>21</v>
      </c>
    </row>
    <row r="5" spans="1:7" ht="12.75" customHeight="1" x14ac:dyDescent="0.2">
      <c r="B5" s="371" t="s">
        <v>21</v>
      </c>
      <c r="C5" s="373"/>
      <c r="D5" s="373"/>
      <c r="E5" s="373"/>
      <c r="F5" s="373"/>
      <c r="G5" s="137" t="s">
        <v>21</v>
      </c>
    </row>
    <row r="6" spans="1:7" ht="12.75" customHeight="1" x14ac:dyDescent="0.2">
      <c r="B6" s="137" t="s">
        <v>21</v>
      </c>
      <c r="C6" s="137" t="s">
        <v>21</v>
      </c>
      <c r="D6" s="137" t="s">
        <v>21</v>
      </c>
      <c r="E6" s="137" t="s">
        <v>21</v>
      </c>
      <c r="F6" s="137" t="s">
        <v>21</v>
      </c>
      <c r="G6" s="137" t="s">
        <v>21</v>
      </c>
    </row>
    <row r="7" spans="1:7" ht="12.75" customHeight="1" x14ac:dyDescent="0.2">
      <c r="B7" s="137" t="s">
        <v>21</v>
      </c>
      <c r="C7" s="171" t="s">
        <v>21</v>
      </c>
      <c r="D7" s="171" t="s">
        <v>21</v>
      </c>
      <c r="E7" s="171" t="s">
        <v>261</v>
      </c>
      <c r="F7" s="171" t="s">
        <v>419</v>
      </c>
      <c r="G7" s="171" t="s">
        <v>21</v>
      </c>
    </row>
    <row r="8" spans="1:7" ht="12.75" customHeight="1" x14ac:dyDescent="0.2">
      <c r="B8" s="137" t="s">
        <v>21</v>
      </c>
      <c r="C8" s="171" t="s">
        <v>21</v>
      </c>
      <c r="D8" s="171" t="s">
        <v>420</v>
      </c>
      <c r="E8" s="171" t="s">
        <v>421</v>
      </c>
      <c r="F8" s="171" t="s">
        <v>422</v>
      </c>
      <c r="G8" s="171" t="s">
        <v>21</v>
      </c>
    </row>
    <row r="9" spans="1:7" ht="12.75" customHeight="1" x14ac:dyDescent="0.2">
      <c r="A9" s="103" t="s">
        <v>423</v>
      </c>
      <c r="B9" s="12" t="s">
        <v>186</v>
      </c>
      <c r="C9" s="12" t="s">
        <v>185</v>
      </c>
      <c r="D9" s="12" t="s">
        <v>179</v>
      </c>
      <c r="E9" s="12" t="s">
        <v>179</v>
      </c>
      <c r="F9" s="12" t="s">
        <v>179</v>
      </c>
      <c r="G9" s="172" t="s">
        <v>21</v>
      </c>
    </row>
    <row r="10" spans="1:7" ht="12.75" customHeight="1" x14ac:dyDescent="0.25">
      <c r="A10" s="137" t="str">
        <f>LEFT(B10,4)</f>
        <v>25AF</v>
      </c>
      <c r="B10" s="137" t="s">
        <v>26</v>
      </c>
      <c r="C10" s="32" t="s">
        <v>171</v>
      </c>
      <c r="D10" s="32">
        <v>0</v>
      </c>
      <c r="E10" s="32">
        <v>0</v>
      </c>
      <c r="F10" s="32">
        <v>0</v>
      </c>
      <c r="G10" s="137" t="s">
        <v>21</v>
      </c>
    </row>
    <row r="11" spans="1:7" ht="12.75" customHeight="1" x14ac:dyDescent="0.25">
      <c r="A11" s="137" t="str">
        <f t="shared" ref="A11:A24" si="0">LEFT(B11,4)</f>
        <v>25AM</v>
      </c>
      <c r="B11" s="137" t="s">
        <v>49</v>
      </c>
      <c r="C11" s="32" t="s">
        <v>291</v>
      </c>
      <c r="D11" s="32">
        <v>0</v>
      </c>
      <c r="E11" s="32">
        <v>0</v>
      </c>
      <c r="F11" s="32">
        <v>0</v>
      </c>
      <c r="G11" s="137" t="s">
        <v>21</v>
      </c>
    </row>
    <row r="12" spans="1:7" ht="12.75" customHeight="1" x14ac:dyDescent="0.25">
      <c r="A12" s="137" t="str">
        <f t="shared" si="0"/>
        <v>25AM</v>
      </c>
      <c r="B12" s="137" t="s">
        <v>292</v>
      </c>
      <c r="C12" s="32" t="s">
        <v>293</v>
      </c>
      <c r="D12" s="32">
        <v>-3016</v>
      </c>
      <c r="E12" s="32">
        <v>-3016</v>
      </c>
      <c r="F12" s="32">
        <v>0</v>
      </c>
      <c r="G12" s="137" t="s">
        <v>21</v>
      </c>
    </row>
    <row r="13" spans="1:7" ht="12.75" customHeight="1" x14ac:dyDescent="0.25">
      <c r="A13" s="137" t="str">
        <f t="shared" si="0"/>
        <v>25BD</v>
      </c>
      <c r="B13" s="137" t="s">
        <v>51</v>
      </c>
      <c r="C13" s="32" t="s">
        <v>170</v>
      </c>
      <c r="D13" s="32">
        <v>258</v>
      </c>
      <c r="E13" s="32">
        <v>258</v>
      </c>
      <c r="F13" s="32">
        <v>0</v>
      </c>
      <c r="G13" s="137" t="s">
        <v>21</v>
      </c>
    </row>
    <row r="14" spans="1:7" ht="12.75" customHeight="1" x14ac:dyDescent="0.25">
      <c r="A14" s="137" t="str">
        <f t="shared" si="0"/>
        <v>25BN</v>
      </c>
      <c r="B14" s="137" t="s">
        <v>169</v>
      </c>
      <c r="C14" s="32" t="s">
        <v>168</v>
      </c>
      <c r="D14" s="32">
        <v>0</v>
      </c>
      <c r="E14" s="32">
        <v>0</v>
      </c>
      <c r="F14" s="32">
        <v>0</v>
      </c>
      <c r="G14" s="137" t="s">
        <v>21</v>
      </c>
    </row>
    <row r="15" spans="1:7" ht="12.75" customHeight="1" x14ac:dyDescent="0.25">
      <c r="A15" s="137" t="str">
        <f t="shared" si="0"/>
        <v>25CN</v>
      </c>
      <c r="B15" s="137" t="s">
        <v>242</v>
      </c>
      <c r="C15" s="32" t="s">
        <v>294</v>
      </c>
      <c r="D15" s="32">
        <v>492</v>
      </c>
      <c r="E15" s="32">
        <v>492</v>
      </c>
      <c r="F15" s="32">
        <v>0</v>
      </c>
      <c r="G15" s="137" t="s">
        <v>21</v>
      </c>
    </row>
    <row r="16" spans="1:7" ht="12.75" customHeight="1" x14ac:dyDescent="0.25">
      <c r="A16" s="137" t="str">
        <f t="shared" si="0"/>
        <v>25DP</v>
      </c>
      <c r="B16" s="137" t="s">
        <v>167</v>
      </c>
      <c r="C16" s="32" t="s">
        <v>166</v>
      </c>
      <c r="D16" s="32">
        <v>-46</v>
      </c>
      <c r="E16" s="32">
        <v>-46</v>
      </c>
      <c r="F16" s="32">
        <v>0</v>
      </c>
      <c r="G16" s="137" t="s">
        <v>21</v>
      </c>
    </row>
    <row r="17" spans="1:7" ht="12.75" customHeight="1" x14ac:dyDescent="0.25">
      <c r="A17" s="137" t="str">
        <f t="shared" si="0"/>
        <v>25DP</v>
      </c>
      <c r="B17" s="137" t="s">
        <v>165</v>
      </c>
      <c r="C17" s="32" t="s">
        <v>164</v>
      </c>
      <c r="D17" s="32">
        <v>0</v>
      </c>
      <c r="E17" s="32">
        <v>0</v>
      </c>
      <c r="F17" s="32">
        <v>0</v>
      </c>
      <c r="G17" s="137" t="s">
        <v>21</v>
      </c>
    </row>
    <row r="18" spans="1:7" ht="12.75" customHeight="1" x14ac:dyDescent="0.25">
      <c r="A18" s="137" t="str">
        <f t="shared" si="0"/>
        <v>25DP</v>
      </c>
      <c r="B18" s="137" t="s">
        <v>163</v>
      </c>
      <c r="C18" s="32" t="s">
        <v>147</v>
      </c>
      <c r="D18" s="32">
        <v>-1286</v>
      </c>
      <c r="E18" s="32">
        <v>-1286</v>
      </c>
      <c r="F18" s="32">
        <v>0</v>
      </c>
      <c r="G18" s="137" t="s">
        <v>21</v>
      </c>
    </row>
    <row r="19" spans="1:7" ht="12.75" customHeight="1" x14ac:dyDescent="0.25">
      <c r="A19" s="137" t="str">
        <f t="shared" si="0"/>
        <v>25DP</v>
      </c>
      <c r="B19" s="137" t="s">
        <v>162</v>
      </c>
      <c r="C19" s="32" t="s">
        <v>161</v>
      </c>
      <c r="D19" s="32">
        <v>0</v>
      </c>
      <c r="E19" s="32">
        <v>0</v>
      </c>
      <c r="F19" s="32">
        <v>0</v>
      </c>
      <c r="G19" s="137" t="s">
        <v>21</v>
      </c>
    </row>
    <row r="20" spans="1:7" ht="12.75" customHeight="1" x14ac:dyDescent="0.25">
      <c r="A20" s="137" t="str">
        <f t="shared" si="0"/>
        <v>25ID</v>
      </c>
      <c r="B20" s="137" t="s">
        <v>87</v>
      </c>
      <c r="C20" s="32" t="s">
        <v>160</v>
      </c>
      <c r="D20" s="32">
        <v>-1</v>
      </c>
      <c r="E20" s="32">
        <v>-1</v>
      </c>
      <c r="F20" s="32">
        <v>0</v>
      </c>
      <c r="G20" s="137" t="s">
        <v>21</v>
      </c>
    </row>
    <row r="21" spans="1:7" ht="12.75" customHeight="1" x14ac:dyDescent="0.25">
      <c r="A21" s="137" t="str">
        <f t="shared" si="0"/>
        <v>25PG</v>
      </c>
      <c r="B21" s="137" t="s">
        <v>50</v>
      </c>
      <c r="C21" s="32" t="s">
        <v>159</v>
      </c>
      <c r="D21" s="32">
        <v>12997</v>
      </c>
      <c r="E21" s="32">
        <v>12997</v>
      </c>
      <c r="F21" s="32">
        <v>0</v>
      </c>
      <c r="G21" s="137" t="s">
        <v>21</v>
      </c>
    </row>
    <row r="22" spans="1:7" ht="12.75" customHeight="1" x14ac:dyDescent="0.25">
      <c r="A22" s="137" t="str">
        <f t="shared" si="0"/>
        <v>25RE</v>
      </c>
      <c r="B22" s="137" t="s">
        <v>127</v>
      </c>
      <c r="C22" s="32" t="s">
        <v>158</v>
      </c>
      <c r="D22" s="32">
        <v>2</v>
      </c>
      <c r="E22" s="32">
        <v>2</v>
      </c>
      <c r="F22" s="32">
        <v>0</v>
      </c>
      <c r="G22" s="137" t="s">
        <v>21</v>
      </c>
    </row>
    <row r="23" spans="1:7" ht="12.75" customHeight="1" x14ac:dyDescent="0.25">
      <c r="A23" s="137" t="str">
        <f t="shared" si="0"/>
        <v>25SI</v>
      </c>
      <c r="B23" s="137" t="s">
        <v>157</v>
      </c>
      <c r="C23" s="32" t="s">
        <v>156</v>
      </c>
      <c r="D23" s="32">
        <v>0</v>
      </c>
      <c r="E23" s="32">
        <v>0</v>
      </c>
      <c r="F23" s="32">
        <v>0</v>
      </c>
      <c r="G23" s="137" t="s">
        <v>21</v>
      </c>
    </row>
    <row r="24" spans="1:7" ht="12.75" customHeight="1" x14ac:dyDescent="0.25">
      <c r="A24" s="137" t="str">
        <f t="shared" si="0"/>
        <v>25TX</v>
      </c>
      <c r="B24" s="137" t="s">
        <v>132</v>
      </c>
      <c r="C24" s="32" t="s">
        <v>192</v>
      </c>
      <c r="D24" s="32">
        <v>0</v>
      </c>
      <c r="E24" s="32">
        <v>0</v>
      </c>
      <c r="F24" s="32">
        <v>0</v>
      </c>
      <c r="G24" s="137" t="s">
        <v>21</v>
      </c>
    </row>
    <row r="25" spans="1:7" ht="12.75" customHeight="1" x14ac:dyDescent="0.25">
      <c r="A25" s="103" t="s">
        <v>123</v>
      </c>
      <c r="B25" s="137" t="s">
        <v>155</v>
      </c>
      <c r="C25" s="32" t="s">
        <v>155</v>
      </c>
      <c r="D25" s="173">
        <v>0</v>
      </c>
      <c r="E25" s="173">
        <v>0</v>
      </c>
      <c r="F25" s="173">
        <v>0</v>
      </c>
      <c r="G25" s="137" t="s">
        <v>21</v>
      </c>
    </row>
    <row r="26" spans="1:7" ht="12.75" customHeight="1" thickBot="1" x14ac:dyDescent="0.3">
      <c r="B26" s="11" t="s">
        <v>154</v>
      </c>
      <c r="C26" s="11" t="s">
        <v>21</v>
      </c>
      <c r="D26" s="34">
        <v>9401</v>
      </c>
      <c r="E26" s="34">
        <v>9401</v>
      </c>
      <c r="F26" s="34">
        <v>0</v>
      </c>
      <c r="G26" s="11" t="s">
        <v>21</v>
      </c>
    </row>
    <row r="30" spans="1:7" x14ac:dyDescent="0.2">
      <c r="A30" s="137" t="s">
        <v>149</v>
      </c>
      <c r="B30" s="137" t="s">
        <v>424</v>
      </c>
    </row>
    <row r="31" spans="1:7" x14ac:dyDescent="0.2">
      <c r="A31" s="174" t="s">
        <v>26</v>
      </c>
      <c r="B31" s="175">
        <v>0</v>
      </c>
    </row>
    <row r="32" spans="1:7" x14ac:dyDescent="0.2">
      <c r="A32" s="174" t="s">
        <v>49</v>
      </c>
      <c r="B32" s="175">
        <v>-3016</v>
      </c>
    </row>
    <row r="33" spans="1:2" x14ac:dyDescent="0.2">
      <c r="A33" s="174" t="s">
        <v>51</v>
      </c>
      <c r="B33" s="175">
        <v>258</v>
      </c>
    </row>
    <row r="34" spans="1:2" x14ac:dyDescent="0.2">
      <c r="A34" s="174" t="s">
        <v>44</v>
      </c>
      <c r="B34" s="175">
        <v>0</v>
      </c>
    </row>
    <row r="35" spans="1:2" x14ac:dyDescent="0.2">
      <c r="A35" s="174" t="s">
        <v>242</v>
      </c>
      <c r="B35" s="175">
        <v>492</v>
      </c>
    </row>
    <row r="36" spans="1:2" x14ac:dyDescent="0.2">
      <c r="A36" s="174" t="s">
        <v>41</v>
      </c>
      <c r="B36" s="175">
        <v>-1332</v>
      </c>
    </row>
    <row r="37" spans="1:2" x14ac:dyDescent="0.2">
      <c r="A37" s="174" t="s">
        <v>87</v>
      </c>
      <c r="B37" s="175">
        <v>-1</v>
      </c>
    </row>
    <row r="38" spans="1:2" x14ac:dyDescent="0.2">
      <c r="A38" s="174" t="s">
        <v>50</v>
      </c>
      <c r="B38" s="175">
        <v>12997</v>
      </c>
    </row>
    <row r="39" spans="1:2" x14ac:dyDescent="0.2">
      <c r="A39" s="174" t="s">
        <v>127</v>
      </c>
      <c r="B39" s="175">
        <v>2</v>
      </c>
    </row>
    <row r="40" spans="1:2" x14ac:dyDescent="0.2">
      <c r="A40" s="174" t="s">
        <v>122</v>
      </c>
      <c r="B40" s="175">
        <v>0</v>
      </c>
    </row>
    <row r="41" spans="1:2" x14ac:dyDescent="0.2">
      <c r="A41" s="174" t="s">
        <v>123</v>
      </c>
      <c r="B41" s="175">
        <v>0</v>
      </c>
    </row>
    <row r="42" spans="1:2" x14ac:dyDescent="0.2">
      <c r="A42" s="174" t="s">
        <v>132</v>
      </c>
      <c r="B42" s="175">
        <v>0</v>
      </c>
    </row>
    <row r="43" spans="1:2" x14ac:dyDescent="0.2">
      <c r="A43" s="174" t="s">
        <v>150</v>
      </c>
      <c r="B43" s="175">
        <v>9400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300" verticalDpi="300"/>
  <headerFooter alignWithMargins="0">
    <oddHeader>&amp;L&amp;"Arial,Bold"&amp;10</oddHeader>
    <oddFooter>&amp;L&amp;"Arial,Bold"&amp;10&amp;R&amp;"Arial,Bold"&amp;10&amp;P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9"/>
  <sheetViews>
    <sheetView workbookViewId="0">
      <selection activeCell="E9" sqref="E9"/>
    </sheetView>
  </sheetViews>
  <sheetFormatPr defaultRowHeight="12.75" x14ac:dyDescent="0.2"/>
  <cols>
    <col min="1" max="1" width="23.7109375" style="177" customWidth="1"/>
    <col min="2" max="2" width="50.7109375" style="177" customWidth="1"/>
    <col min="3" max="6" width="17.7109375" style="178" customWidth="1"/>
    <col min="7" max="8" width="9.140625" style="177"/>
    <col min="9" max="9" width="11.28515625" style="177" bestFit="1" customWidth="1"/>
    <col min="10" max="256" width="9.140625" style="177"/>
    <col min="257" max="257" width="23.7109375" style="177" customWidth="1"/>
    <col min="258" max="258" width="50.7109375" style="177" customWidth="1"/>
    <col min="259" max="262" width="17.7109375" style="177" customWidth="1"/>
    <col min="263" max="512" width="9.140625" style="177"/>
    <col min="513" max="513" width="23.7109375" style="177" customWidth="1"/>
    <col min="514" max="514" width="50.7109375" style="177" customWidth="1"/>
    <col min="515" max="518" width="17.7109375" style="177" customWidth="1"/>
    <col min="519" max="768" width="9.140625" style="177"/>
    <col min="769" max="769" width="23.7109375" style="177" customWidth="1"/>
    <col min="770" max="770" width="50.7109375" style="177" customWidth="1"/>
    <col min="771" max="774" width="17.7109375" style="177" customWidth="1"/>
    <col min="775" max="1024" width="9.140625" style="177"/>
    <col min="1025" max="1025" width="23.7109375" style="177" customWidth="1"/>
    <col min="1026" max="1026" width="50.7109375" style="177" customWidth="1"/>
    <col min="1027" max="1030" width="17.7109375" style="177" customWidth="1"/>
    <col min="1031" max="1280" width="9.140625" style="177"/>
    <col min="1281" max="1281" width="23.7109375" style="177" customWidth="1"/>
    <col min="1282" max="1282" width="50.7109375" style="177" customWidth="1"/>
    <col min="1283" max="1286" width="17.7109375" style="177" customWidth="1"/>
    <col min="1287" max="1536" width="9.140625" style="177"/>
    <col min="1537" max="1537" width="23.7109375" style="177" customWidth="1"/>
    <col min="1538" max="1538" width="50.7109375" style="177" customWidth="1"/>
    <col min="1539" max="1542" width="17.7109375" style="177" customWidth="1"/>
    <col min="1543" max="1792" width="9.140625" style="177"/>
    <col min="1793" max="1793" width="23.7109375" style="177" customWidth="1"/>
    <col min="1794" max="1794" width="50.7109375" style="177" customWidth="1"/>
    <col min="1795" max="1798" width="17.7109375" style="177" customWidth="1"/>
    <col min="1799" max="2048" width="9.140625" style="177"/>
    <col min="2049" max="2049" width="23.7109375" style="177" customWidth="1"/>
    <col min="2050" max="2050" width="50.7109375" style="177" customWidth="1"/>
    <col min="2051" max="2054" width="17.7109375" style="177" customWidth="1"/>
    <col min="2055" max="2304" width="9.140625" style="177"/>
    <col min="2305" max="2305" width="23.7109375" style="177" customWidth="1"/>
    <col min="2306" max="2306" width="50.7109375" style="177" customWidth="1"/>
    <col min="2307" max="2310" width="17.7109375" style="177" customWidth="1"/>
    <col min="2311" max="2560" width="9.140625" style="177"/>
    <col min="2561" max="2561" width="23.7109375" style="177" customWidth="1"/>
    <col min="2562" max="2562" width="50.7109375" style="177" customWidth="1"/>
    <col min="2563" max="2566" width="17.7109375" style="177" customWidth="1"/>
    <col min="2567" max="2816" width="9.140625" style="177"/>
    <col min="2817" max="2817" width="23.7109375" style="177" customWidth="1"/>
    <col min="2818" max="2818" width="50.7109375" style="177" customWidth="1"/>
    <col min="2819" max="2822" width="17.7109375" style="177" customWidth="1"/>
    <col min="2823" max="3072" width="9.140625" style="177"/>
    <col min="3073" max="3073" width="23.7109375" style="177" customWidth="1"/>
    <col min="3074" max="3074" width="50.7109375" style="177" customWidth="1"/>
    <col min="3075" max="3078" width="17.7109375" style="177" customWidth="1"/>
    <col min="3079" max="3328" width="9.140625" style="177"/>
    <col min="3329" max="3329" width="23.7109375" style="177" customWidth="1"/>
    <col min="3330" max="3330" width="50.7109375" style="177" customWidth="1"/>
    <col min="3331" max="3334" width="17.7109375" style="177" customWidth="1"/>
    <col min="3335" max="3584" width="9.140625" style="177"/>
    <col min="3585" max="3585" width="23.7109375" style="177" customWidth="1"/>
    <col min="3586" max="3586" width="50.7109375" style="177" customWidth="1"/>
    <col min="3587" max="3590" width="17.7109375" style="177" customWidth="1"/>
    <col min="3591" max="3840" width="9.140625" style="177"/>
    <col min="3841" max="3841" width="23.7109375" style="177" customWidth="1"/>
    <col min="3842" max="3842" width="50.7109375" style="177" customWidth="1"/>
    <col min="3843" max="3846" width="17.7109375" style="177" customWidth="1"/>
    <col min="3847" max="4096" width="9.140625" style="177"/>
    <col min="4097" max="4097" width="23.7109375" style="177" customWidth="1"/>
    <col min="4098" max="4098" width="50.7109375" style="177" customWidth="1"/>
    <col min="4099" max="4102" width="17.7109375" style="177" customWidth="1"/>
    <col min="4103" max="4352" width="9.140625" style="177"/>
    <col min="4353" max="4353" width="23.7109375" style="177" customWidth="1"/>
    <col min="4354" max="4354" width="50.7109375" style="177" customWidth="1"/>
    <col min="4355" max="4358" width="17.7109375" style="177" customWidth="1"/>
    <col min="4359" max="4608" width="9.140625" style="177"/>
    <col min="4609" max="4609" width="23.7109375" style="177" customWidth="1"/>
    <col min="4610" max="4610" width="50.7109375" style="177" customWidth="1"/>
    <col min="4611" max="4614" width="17.7109375" style="177" customWidth="1"/>
    <col min="4615" max="4864" width="9.140625" style="177"/>
    <col min="4865" max="4865" width="23.7109375" style="177" customWidth="1"/>
    <col min="4866" max="4866" width="50.7109375" style="177" customWidth="1"/>
    <col min="4867" max="4870" width="17.7109375" style="177" customWidth="1"/>
    <col min="4871" max="5120" width="9.140625" style="177"/>
    <col min="5121" max="5121" width="23.7109375" style="177" customWidth="1"/>
    <col min="5122" max="5122" width="50.7109375" style="177" customWidth="1"/>
    <col min="5123" max="5126" width="17.7109375" style="177" customWidth="1"/>
    <col min="5127" max="5376" width="9.140625" style="177"/>
    <col min="5377" max="5377" width="23.7109375" style="177" customWidth="1"/>
    <col min="5378" max="5378" width="50.7109375" style="177" customWidth="1"/>
    <col min="5379" max="5382" width="17.7109375" style="177" customWidth="1"/>
    <col min="5383" max="5632" width="9.140625" style="177"/>
    <col min="5633" max="5633" width="23.7109375" style="177" customWidth="1"/>
    <col min="5634" max="5634" width="50.7109375" style="177" customWidth="1"/>
    <col min="5635" max="5638" width="17.7109375" style="177" customWidth="1"/>
    <col min="5639" max="5888" width="9.140625" style="177"/>
    <col min="5889" max="5889" width="23.7109375" style="177" customWidth="1"/>
    <col min="5890" max="5890" width="50.7109375" style="177" customWidth="1"/>
    <col min="5891" max="5894" width="17.7109375" style="177" customWidth="1"/>
    <col min="5895" max="6144" width="9.140625" style="177"/>
    <col min="6145" max="6145" width="23.7109375" style="177" customWidth="1"/>
    <col min="6146" max="6146" width="50.7109375" style="177" customWidth="1"/>
    <col min="6147" max="6150" width="17.7109375" style="177" customWidth="1"/>
    <col min="6151" max="6400" width="9.140625" style="177"/>
    <col min="6401" max="6401" width="23.7109375" style="177" customWidth="1"/>
    <col min="6402" max="6402" width="50.7109375" style="177" customWidth="1"/>
    <col min="6403" max="6406" width="17.7109375" style="177" customWidth="1"/>
    <col min="6407" max="6656" width="9.140625" style="177"/>
    <col min="6657" max="6657" width="23.7109375" style="177" customWidth="1"/>
    <col min="6658" max="6658" width="50.7109375" style="177" customWidth="1"/>
    <col min="6659" max="6662" width="17.7109375" style="177" customWidth="1"/>
    <col min="6663" max="6912" width="9.140625" style="177"/>
    <col min="6913" max="6913" width="23.7109375" style="177" customWidth="1"/>
    <col min="6914" max="6914" width="50.7109375" style="177" customWidth="1"/>
    <col min="6915" max="6918" width="17.7109375" style="177" customWidth="1"/>
    <col min="6919" max="7168" width="9.140625" style="177"/>
    <col min="7169" max="7169" width="23.7109375" style="177" customWidth="1"/>
    <col min="7170" max="7170" width="50.7109375" style="177" customWidth="1"/>
    <col min="7171" max="7174" width="17.7109375" style="177" customWidth="1"/>
    <col min="7175" max="7424" width="9.140625" style="177"/>
    <col min="7425" max="7425" width="23.7109375" style="177" customWidth="1"/>
    <col min="7426" max="7426" width="50.7109375" style="177" customWidth="1"/>
    <col min="7427" max="7430" width="17.7109375" style="177" customWidth="1"/>
    <col min="7431" max="7680" width="9.140625" style="177"/>
    <col min="7681" max="7681" width="23.7109375" style="177" customWidth="1"/>
    <col min="7682" max="7682" width="50.7109375" style="177" customWidth="1"/>
    <col min="7683" max="7686" width="17.7109375" style="177" customWidth="1"/>
    <col min="7687" max="7936" width="9.140625" style="177"/>
    <col min="7937" max="7937" width="23.7109375" style="177" customWidth="1"/>
    <col min="7938" max="7938" width="50.7109375" style="177" customWidth="1"/>
    <col min="7939" max="7942" width="17.7109375" style="177" customWidth="1"/>
    <col min="7943" max="8192" width="9.140625" style="177"/>
    <col min="8193" max="8193" width="23.7109375" style="177" customWidth="1"/>
    <col min="8194" max="8194" width="50.7109375" style="177" customWidth="1"/>
    <col min="8195" max="8198" width="17.7109375" style="177" customWidth="1"/>
    <col min="8199" max="8448" width="9.140625" style="177"/>
    <col min="8449" max="8449" width="23.7109375" style="177" customWidth="1"/>
    <col min="8450" max="8450" width="50.7109375" style="177" customWidth="1"/>
    <col min="8451" max="8454" width="17.7109375" style="177" customWidth="1"/>
    <col min="8455" max="8704" width="9.140625" style="177"/>
    <col min="8705" max="8705" width="23.7109375" style="177" customWidth="1"/>
    <col min="8706" max="8706" width="50.7109375" style="177" customWidth="1"/>
    <col min="8707" max="8710" width="17.7109375" style="177" customWidth="1"/>
    <col min="8711" max="8960" width="9.140625" style="177"/>
    <col min="8961" max="8961" width="23.7109375" style="177" customWidth="1"/>
    <col min="8962" max="8962" width="50.7109375" style="177" customWidth="1"/>
    <col min="8963" max="8966" width="17.7109375" style="177" customWidth="1"/>
    <col min="8967" max="9216" width="9.140625" style="177"/>
    <col min="9217" max="9217" width="23.7109375" style="177" customWidth="1"/>
    <col min="9218" max="9218" width="50.7109375" style="177" customWidth="1"/>
    <col min="9219" max="9222" width="17.7109375" style="177" customWidth="1"/>
    <col min="9223" max="9472" width="9.140625" style="177"/>
    <col min="9473" max="9473" width="23.7109375" style="177" customWidth="1"/>
    <col min="9474" max="9474" width="50.7109375" style="177" customWidth="1"/>
    <col min="9475" max="9478" width="17.7109375" style="177" customWidth="1"/>
    <col min="9479" max="9728" width="9.140625" style="177"/>
    <col min="9729" max="9729" width="23.7109375" style="177" customWidth="1"/>
    <col min="9730" max="9730" width="50.7109375" style="177" customWidth="1"/>
    <col min="9731" max="9734" width="17.7109375" style="177" customWidth="1"/>
    <col min="9735" max="9984" width="9.140625" style="177"/>
    <col min="9985" max="9985" width="23.7109375" style="177" customWidth="1"/>
    <col min="9986" max="9986" width="50.7109375" style="177" customWidth="1"/>
    <col min="9987" max="9990" width="17.7109375" style="177" customWidth="1"/>
    <col min="9991" max="10240" width="9.140625" style="177"/>
    <col min="10241" max="10241" width="23.7109375" style="177" customWidth="1"/>
    <col min="10242" max="10242" width="50.7109375" style="177" customWidth="1"/>
    <col min="10243" max="10246" width="17.7109375" style="177" customWidth="1"/>
    <col min="10247" max="10496" width="9.140625" style="177"/>
    <col min="10497" max="10497" width="23.7109375" style="177" customWidth="1"/>
    <col min="10498" max="10498" width="50.7109375" style="177" customWidth="1"/>
    <col min="10499" max="10502" width="17.7109375" style="177" customWidth="1"/>
    <col min="10503" max="10752" width="9.140625" style="177"/>
    <col min="10753" max="10753" width="23.7109375" style="177" customWidth="1"/>
    <col min="10754" max="10754" width="50.7109375" style="177" customWidth="1"/>
    <col min="10755" max="10758" width="17.7109375" style="177" customWidth="1"/>
    <col min="10759" max="11008" width="9.140625" style="177"/>
    <col min="11009" max="11009" width="23.7109375" style="177" customWidth="1"/>
    <col min="11010" max="11010" width="50.7109375" style="177" customWidth="1"/>
    <col min="11011" max="11014" width="17.7109375" style="177" customWidth="1"/>
    <col min="11015" max="11264" width="9.140625" style="177"/>
    <col min="11265" max="11265" width="23.7109375" style="177" customWidth="1"/>
    <col min="11266" max="11266" width="50.7109375" style="177" customWidth="1"/>
    <col min="11267" max="11270" width="17.7109375" style="177" customWidth="1"/>
    <col min="11271" max="11520" width="9.140625" style="177"/>
    <col min="11521" max="11521" width="23.7109375" style="177" customWidth="1"/>
    <col min="11522" max="11522" width="50.7109375" style="177" customWidth="1"/>
    <col min="11523" max="11526" width="17.7109375" style="177" customWidth="1"/>
    <col min="11527" max="11776" width="9.140625" style="177"/>
    <col min="11777" max="11777" width="23.7109375" style="177" customWidth="1"/>
    <col min="11778" max="11778" width="50.7109375" style="177" customWidth="1"/>
    <col min="11779" max="11782" width="17.7109375" style="177" customWidth="1"/>
    <col min="11783" max="12032" width="9.140625" style="177"/>
    <col min="12033" max="12033" width="23.7109375" style="177" customWidth="1"/>
    <col min="12034" max="12034" width="50.7109375" style="177" customWidth="1"/>
    <col min="12035" max="12038" width="17.7109375" style="177" customWidth="1"/>
    <col min="12039" max="12288" width="9.140625" style="177"/>
    <col min="12289" max="12289" width="23.7109375" style="177" customWidth="1"/>
    <col min="12290" max="12290" width="50.7109375" style="177" customWidth="1"/>
    <col min="12291" max="12294" width="17.7109375" style="177" customWidth="1"/>
    <col min="12295" max="12544" width="9.140625" style="177"/>
    <col min="12545" max="12545" width="23.7109375" style="177" customWidth="1"/>
    <col min="12546" max="12546" width="50.7109375" style="177" customWidth="1"/>
    <col min="12547" max="12550" width="17.7109375" style="177" customWidth="1"/>
    <col min="12551" max="12800" width="9.140625" style="177"/>
    <col min="12801" max="12801" width="23.7109375" style="177" customWidth="1"/>
    <col min="12802" max="12802" width="50.7109375" style="177" customWidth="1"/>
    <col min="12803" max="12806" width="17.7109375" style="177" customWidth="1"/>
    <col min="12807" max="13056" width="9.140625" style="177"/>
    <col min="13057" max="13057" width="23.7109375" style="177" customWidth="1"/>
    <col min="13058" max="13058" width="50.7109375" style="177" customWidth="1"/>
    <col min="13059" max="13062" width="17.7109375" style="177" customWidth="1"/>
    <col min="13063" max="13312" width="9.140625" style="177"/>
    <col min="13313" max="13313" width="23.7109375" style="177" customWidth="1"/>
    <col min="13314" max="13314" width="50.7109375" style="177" customWidth="1"/>
    <col min="13315" max="13318" width="17.7109375" style="177" customWidth="1"/>
    <col min="13319" max="13568" width="9.140625" style="177"/>
    <col min="13569" max="13569" width="23.7109375" style="177" customWidth="1"/>
    <col min="13570" max="13570" width="50.7109375" style="177" customWidth="1"/>
    <col min="13571" max="13574" width="17.7109375" style="177" customWidth="1"/>
    <col min="13575" max="13824" width="9.140625" style="177"/>
    <col min="13825" max="13825" width="23.7109375" style="177" customWidth="1"/>
    <col min="13826" max="13826" width="50.7109375" style="177" customWidth="1"/>
    <col min="13827" max="13830" width="17.7109375" style="177" customWidth="1"/>
    <col min="13831" max="14080" width="9.140625" style="177"/>
    <col min="14081" max="14081" width="23.7109375" style="177" customWidth="1"/>
    <col min="14082" max="14082" width="50.7109375" style="177" customWidth="1"/>
    <col min="14083" max="14086" width="17.7109375" style="177" customWidth="1"/>
    <col min="14087" max="14336" width="9.140625" style="177"/>
    <col min="14337" max="14337" width="23.7109375" style="177" customWidth="1"/>
    <col min="14338" max="14338" width="50.7109375" style="177" customWidth="1"/>
    <col min="14339" max="14342" width="17.7109375" style="177" customWidth="1"/>
    <col min="14343" max="14592" width="9.140625" style="177"/>
    <col min="14593" max="14593" width="23.7109375" style="177" customWidth="1"/>
    <col min="14594" max="14594" width="50.7109375" style="177" customWidth="1"/>
    <col min="14595" max="14598" width="17.7109375" style="177" customWidth="1"/>
    <col min="14599" max="14848" width="9.140625" style="177"/>
    <col min="14849" max="14849" width="23.7109375" style="177" customWidth="1"/>
    <col min="14850" max="14850" width="50.7109375" style="177" customWidth="1"/>
    <col min="14851" max="14854" width="17.7109375" style="177" customWidth="1"/>
    <col min="14855" max="15104" width="9.140625" style="177"/>
    <col min="15105" max="15105" width="23.7109375" style="177" customWidth="1"/>
    <col min="15106" max="15106" width="50.7109375" style="177" customWidth="1"/>
    <col min="15107" max="15110" width="17.7109375" style="177" customWidth="1"/>
    <col min="15111" max="15360" width="9.140625" style="177"/>
    <col min="15361" max="15361" width="23.7109375" style="177" customWidth="1"/>
    <col min="15362" max="15362" width="50.7109375" style="177" customWidth="1"/>
    <col min="15363" max="15366" width="17.7109375" style="177" customWidth="1"/>
    <col min="15367" max="15616" width="9.140625" style="177"/>
    <col min="15617" max="15617" width="23.7109375" style="177" customWidth="1"/>
    <col min="15618" max="15618" width="50.7109375" style="177" customWidth="1"/>
    <col min="15619" max="15622" width="17.7109375" style="177" customWidth="1"/>
    <col min="15623" max="15872" width="9.140625" style="177"/>
    <col min="15873" max="15873" width="23.7109375" style="177" customWidth="1"/>
    <col min="15874" max="15874" width="50.7109375" style="177" customWidth="1"/>
    <col min="15875" max="15878" width="17.7109375" style="177" customWidth="1"/>
    <col min="15879" max="16128" width="9.140625" style="177"/>
    <col min="16129" max="16129" width="23.7109375" style="177" customWidth="1"/>
    <col min="16130" max="16130" width="50.7109375" style="177" customWidth="1"/>
    <col min="16131" max="16134" width="17.7109375" style="177" customWidth="1"/>
    <col min="16135" max="16384" width="9.140625" style="177"/>
  </cols>
  <sheetData>
    <row r="1" spans="1:6" ht="19.5" x14ac:dyDescent="0.4">
      <c r="A1" s="176" t="s">
        <v>425</v>
      </c>
    </row>
    <row r="2" spans="1:6" ht="15" x14ac:dyDescent="0.3">
      <c r="A2" s="179" t="s">
        <v>426</v>
      </c>
    </row>
    <row r="3" spans="1:6" ht="15" x14ac:dyDescent="0.3">
      <c r="A3" s="179" t="s">
        <v>427</v>
      </c>
    </row>
    <row r="5" spans="1:6" x14ac:dyDescent="0.2">
      <c r="C5" s="180" t="s">
        <v>428</v>
      </c>
      <c r="F5" s="180" t="s">
        <v>429</v>
      </c>
    </row>
    <row r="6" spans="1:6" x14ac:dyDescent="0.2">
      <c r="A6" s="181" t="s">
        <v>430</v>
      </c>
      <c r="B6" s="181" t="s">
        <v>431</v>
      </c>
      <c r="C6" s="182" t="s">
        <v>432</v>
      </c>
      <c r="D6" s="182" t="s">
        <v>433</v>
      </c>
      <c r="E6" s="182" t="s">
        <v>434</v>
      </c>
      <c r="F6" s="182" t="s">
        <v>435</v>
      </c>
    </row>
    <row r="8" spans="1:6" x14ac:dyDescent="0.2">
      <c r="A8" s="183"/>
      <c r="B8" s="184" t="s">
        <v>436</v>
      </c>
      <c r="C8" s="185"/>
      <c r="D8" s="185"/>
      <c r="E8" s="185"/>
      <c r="F8" s="185"/>
    </row>
    <row r="9" spans="1:6" x14ac:dyDescent="0.2">
      <c r="B9" s="186" t="s">
        <v>437</v>
      </c>
      <c r="C9" s="187">
        <v>-43255.760000000497</v>
      </c>
      <c r="D9" s="187">
        <v>894557.48</v>
      </c>
      <c r="E9" s="187">
        <v>843888.54</v>
      </c>
      <c r="F9" s="187">
        <v>7413.1799999999002</v>
      </c>
    </row>
    <row r="10" spans="1:6" x14ac:dyDescent="0.2">
      <c r="B10" s="186" t="s">
        <v>438</v>
      </c>
      <c r="C10" s="178">
        <v>187539.58</v>
      </c>
      <c r="D10" s="178">
        <v>195758.89</v>
      </c>
      <c r="E10" s="178">
        <v>195208.09</v>
      </c>
      <c r="F10" s="178">
        <v>188090.38</v>
      </c>
    </row>
    <row r="11" spans="1:6" x14ac:dyDescent="0.2">
      <c r="B11" s="186" t="s">
        <v>439</v>
      </c>
      <c r="C11" s="178">
        <v>-144283.82</v>
      </c>
      <c r="D11" s="178">
        <v>257067.99</v>
      </c>
      <c r="E11" s="178">
        <v>308287.73</v>
      </c>
      <c r="F11" s="178">
        <v>-195503.56</v>
      </c>
    </row>
    <row r="12" spans="1:6" x14ac:dyDescent="0.2">
      <c r="A12" s="188"/>
      <c r="B12" s="189" t="s">
        <v>440</v>
      </c>
      <c r="C12" s="190"/>
      <c r="D12" s="190"/>
      <c r="E12" s="190"/>
      <c r="F12" s="190"/>
    </row>
    <row r="13" spans="1:6" x14ac:dyDescent="0.2">
      <c r="B13" s="186" t="s">
        <v>441</v>
      </c>
      <c r="D13" s="178">
        <v>75980.31</v>
      </c>
      <c r="E13" s="178">
        <v>131092.64000000001</v>
      </c>
      <c r="F13" s="178">
        <v>-55112.33</v>
      </c>
    </row>
    <row r="14" spans="1:6" x14ac:dyDescent="0.2">
      <c r="B14" s="186" t="s">
        <v>442</v>
      </c>
      <c r="D14" s="178">
        <v>173179.61</v>
      </c>
      <c r="E14" s="178">
        <v>162429.95000000001</v>
      </c>
      <c r="F14" s="178">
        <v>10749.66</v>
      </c>
    </row>
    <row r="15" spans="1:6" x14ac:dyDescent="0.2">
      <c r="B15" s="186" t="s">
        <v>443</v>
      </c>
      <c r="D15" s="178">
        <v>87.95</v>
      </c>
      <c r="E15" s="178">
        <v>17.14</v>
      </c>
      <c r="F15" s="178">
        <v>70.81</v>
      </c>
    </row>
    <row r="16" spans="1:6" x14ac:dyDescent="0.2">
      <c r="B16" s="186" t="s">
        <v>444</v>
      </c>
      <c r="D16" s="178">
        <v>4560.33</v>
      </c>
      <c r="F16" s="178">
        <v>4560.33</v>
      </c>
    </row>
    <row r="17" spans="1:6" x14ac:dyDescent="0.2">
      <c r="B17" s="186" t="s">
        <v>445</v>
      </c>
      <c r="D17" s="178">
        <v>15559</v>
      </c>
      <c r="E17" s="178">
        <v>18792</v>
      </c>
      <c r="F17" s="178">
        <v>-3233</v>
      </c>
    </row>
    <row r="18" spans="1:6" x14ac:dyDescent="0.2">
      <c r="B18" s="186" t="s">
        <v>446</v>
      </c>
      <c r="D18" s="178">
        <v>193386.89</v>
      </c>
      <c r="E18" s="178">
        <v>181239.09</v>
      </c>
      <c r="F18" s="178">
        <v>12147.8</v>
      </c>
    </row>
    <row r="19" spans="1:6" ht="13.5" thickBot="1" x14ac:dyDescent="0.25">
      <c r="A19" s="191"/>
      <c r="B19" s="192" t="s">
        <v>447</v>
      </c>
      <c r="C19" s="193"/>
      <c r="D19" s="193"/>
      <c r="E19" s="193"/>
      <c r="F19" s="193"/>
    </row>
    <row r="20" spans="1:6" ht="13.5" thickTop="1" x14ac:dyDescent="0.2">
      <c r="A20" s="194"/>
      <c r="B20" s="195" t="s">
        <v>448</v>
      </c>
      <c r="C20" s="196"/>
      <c r="D20" s="196"/>
      <c r="E20" s="196"/>
      <c r="F20" s="196"/>
    </row>
    <row r="21" spans="1:6" x14ac:dyDescent="0.2">
      <c r="A21" s="186" t="s">
        <v>449</v>
      </c>
      <c r="B21" s="186" t="s">
        <v>450</v>
      </c>
      <c r="C21" s="178">
        <v>1110475.48</v>
      </c>
      <c r="D21" s="178">
        <v>11513.04</v>
      </c>
      <c r="E21" s="178">
        <v>4643.22</v>
      </c>
      <c r="F21" s="178">
        <v>1117345.3</v>
      </c>
    </row>
    <row r="22" spans="1:6" x14ac:dyDescent="0.2">
      <c r="A22" s="186" t="s">
        <v>451</v>
      </c>
      <c r="B22" s="186" t="s">
        <v>452</v>
      </c>
      <c r="D22" s="178">
        <v>25785.59</v>
      </c>
      <c r="E22" s="178">
        <v>25531.88</v>
      </c>
      <c r="F22" s="178">
        <v>253.71</v>
      </c>
    </row>
    <row r="23" spans="1:6" x14ac:dyDescent="0.2">
      <c r="A23" s="186" t="s">
        <v>453</v>
      </c>
      <c r="B23" s="186" t="s">
        <v>454</v>
      </c>
      <c r="D23" s="178">
        <v>705</v>
      </c>
      <c r="E23" s="178">
        <v>310</v>
      </c>
      <c r="F23" s="178">
        <v>395</v>
      </c>
    </row>
    <row r="24" spans="1:6" x14ac:dyDescent="0.2">
      <c r="A24" s="186" t="s">
        <v>455</v>
      </c>
      <c r="B24" s="186" t="s">
        <v>456</v>
      </c>
      <c r="D24" s="178">
        <v>3823.61</v>
      </c>
      <c r="E24" s="178">
        <v>1285</v>
      </c>
      <c r="F24" s="178">
        <v>2538.61</v>
      </c>
    </row>
    <row r="25" spans="1:6" x14ac:dyDescent="0.2">
      <c r="A25" s="186" t="s">
        <v>457</v>
      </c>
      <c r="B25" s="186" t="s">
        <v>458</v>
      </c>
      <c r="C25" s="178">
        <v>-404499.06</v>
      </c>
      <c r="D25" s="178">
        <v>60675.19</v>
      </c>
      <c r="E25" s="178">
        <v>83604.639999999999</v>
      </c>
      <c r="F25" s="178">
        <v>-427428.51</v>
      </c>
    </row>
    <row r="26" spans="1:6" x14ac:dyDescent="0.2">
      <c r="A26" s="186" t="s">
        <v>459</v>
      </c>
      <c r="B26" s="186" t="s">
        <v>460</v>
      </c>
      <c r="C26" s="178">
        <v>44370.87</v>
      </c>
      <c r="D26" s="178">
        <v>16152.32</v>
      </c>
      <c r="E26" s="178">
        <v>60523.19</v>
      </c>
    </row>
    <row r="27" spans="1:6" x14ac:dyDescent="0.2">
      <c r="A27" s="186" t="s">
        <v>461</v>
      </c>
      <c r="B27" s="186" t="s">
        <v>462</v>
      </c>
      <c r="D27" s="178">
        <v>405</v>
      </c>
      <c r="E27" s="178">
        <v>405</v>
      </c>
    </row>
    <row r="28" spans="1:6" x14ac:dyDescent="0.2">
      <c r="A28" s="186" t="s">
        <v>463</v>
      </c>
      <c r="B28" s="186" t="s">
        <v>464</v>
      </c>
      <c r="D28" s="178">
        <v>1773.1</v>
      </c>
      <c r="E28" s="178">
        <v>660</v>
      </c>
      <c r="F28" s="178">
        <v>1113.0999999999999</v>
      </c>
    </row>
    <row r="29" spans="1:6" x14ac:dyDescent="0.2">
      <c r="C29" s="197" t="s">
        <v>465</v>
      </c>
      <c r="D29" s="197" t="s">
        <v>465</v>
      </c>
      <c r="E29" s="197" t="s">
        <v>465</v>
      </c>
      <c r="F29" s="197" t="s">
        <v>465</v>
      </c>
    </row>
    <row r="30" spans="1:6" x14ac:dyDescent="0.2">
      <c r="A30" s="194"/>
      <c r="B30" s="195" t="s">
        <v>466</v>
      </c>
      <c r="C30" s="196">
        <v>750347.29</v>
      </c>
      <c r="D30" s="196">
        <v>120832.85</v>
      </c>
      <c r="E30" s="196">
        <v>176962.93</v>
      </c>
      <c r="F30" s="196">
        <v>694217.21</v>
      </c>
    </row>
    <row r="31" spans="1:6" x14ac:dyDescent="0.2">
      <c r="A31" s="186" t="s">
        <v>467</v>
      </c>
      <c r="B31" s="186" t="s">
        <v>468</v>
      </c>
      <c r="C31" s="178">
        <v>-53430.94</v>
      </c>
      <c r="D31" s="178">
        <v>141006.78</v>
      </c>
      <c r="E31" s="178">
        <v>143998.57999999999</v>
      </c>
      <c r="F31" s="178">
        <v>-56422.74</v>
      </c>
    </row>
    <row r="32" spans="1:6" x14ac:dyDescent="0.2">
      <c r="C32" s="197" t="s">
        <v>465</v>
      </c>
      <c r="D32" s="197" t="s">
        <v>465</v>
      </c>
      <c r="E32" s="197" t="s">
        <v>465</v>
      </c>
      <c r="F32" s="197" t="s">
        <v>465</v>
      </c>
    </row>
    <row r="33" spans="1:6" x14ac:dyDescent="0.2">
      <c r="A33" s="194"/>
      <c r="B33" s="195" t="s">
        <v>469</v>
      </c>
      <c r="C33" s="196">
        <v>696916.35</v>
      </c>
      <c r="D33" s="196">
        <v>261839.63</v>
      </c>
      <c r="E33" s="196">
        <v>320961.51</v>
      </c>
      <c r="F33" s="196">
        <v>637794.47</v>
      </c>
    </row>
    <row r="35" spans="1:6" x14ac:dyDescent="0.2">
      <c r="C35" s="197" t="s">
        <v>465</v>
      </c>
      <c r="D35" s="197" t="s">
        <v>465</v>
      </c>
      <c r="E35" s="197" t="s">
        <v>465</v>
      </c>
      <c r="F35" s="197" t="s">
        <v>465</v>
      </c>
    </row>
    <row r="36" spans="1:6" x14ac:dyDescent="0.2">
      <c r="A36" s="194"/>
      <c r="B36" s="195" t="s">
        <v>470</v>
      </c>
      <c r="C36" s="196"/>
      <c r="D36" s="196"/>
      <c r="E36" s="196"/>
      <c r="F36" s="196"/>
    </row>
    <row r="37" spans="1:6" x14ac:dyDescent="0.2">
      <c r="A37" s="186" t="s">
        <v>471</v>
      </c>
      <c r="B37" s="186" t="s">
        <v>472</v>
      </c>
      <c r="C37" s="178">
        <v>21210.21</v>
      </c>
      <c r="D37" s="178">
        <v>104048.53</v>
      </c>
      <c r="E37" s="178">
        <v>103411.22</v>
      </c>
      <c r="F37" s="178">
        <v>21847.52</v>
      </c>
    </row>
    <row r="38" spans="1:6" x14ac:dyDescent="0.2">
      <c r="A38" s="186" t="s">
        <v>473</v>
      </c>
      <c r="B38" s="186" t="s">
        <v>474</v>
      </c>
      <c r="C38" s="178">
        <v>-2184.02</v>
      </c>
      <c r="D38" s="178">
        <v>327.13</v>
      </c>
      <c r="E38" s="178">
        <v>1346.95</v>
      </c>
      <c r="F38" s="178">
        <v>-3203.84</v>
      </c>
    </row>
    <row r="39" spans="1:6" x14ac:dyDescent="0.2">
      <c r="A39" s="198" t="s">
        <v>475</v>
      </c>
      <c r="B39" s="198" t="s">
        <v>476</v>
      </c>
      <c r="C39" s="199">
        <v>7997.08</v>
      </c>
      <c r="D39" s="199">
        <v>24137.96</v>
      </c>
      <c r="E39" s="199">
        <v>24192.58</v>
      </c>
      <c r="F39" s="199">
        <v>7942.46</v>
      </c>
    </row>
    <row r="40" spans="1:6" x14ac:dyDescent="0.2">
      <c r="A40" s="198" t="s">
        <v>477</v>
      </c>
      <c r="B40" s="198" t="s">
        <v>478</v>
      </c>
      <c r="C40" s="199">
        <v>6124</v>
      </c>
      <c r="D40" s="199">
        <v>1684</v>
      </c>
      <c r="E40" s="199">
        <v>2292</v>
      </c>
      <c r="F40" s="199">
        <v>5516</v>
      </c>
    </row>
    <row r="41" spans="1:6" x14ac:dyDescent="0.2">
      <c r="A41" s="186" t="s">
        <v>479</v>
      </c>
      <c r="B41" s="186" t="s">
        <v>480</v>
      </c>
      <c r="C41" s="178">
        <v>4475.8900000000003</v>
      </c>
      <c r="D41" s="178">
        <v>4708.3100000000004</v>
      </c>
      <c r="E41" s="178">
        <v>4475.8900000000003</v>
      </c>
      <c r="F41" s="178">
        <v>4708.3100000000004</v>
      </c>
    </row>
    <row r="42" spans="1:6" x14ac:dyDescent="0.2">
      <c r="C42" s="197" t="s">
        <v>465</v>
      </c>
      <c r="D42" s="197" t="s">
        <v>465</v>
      </c>
      <c r="E42" s="197" t="s">
        <v>465</v>
      </c>
      <c r="F42" s="197" t="s">
        <v>465</v>
      </c>
    </row>
    <row r="43" spans="1:6" x14ac:dyDescent="0.2">
      <c r="A43" s="194"/>
      <c r="B43" s="195" t="s">
        <v>481</v>
      </c>
      <c r="C43" s="196">
        <v>37623.160000000003</v>
      </c>
      <c r="D43" s="196">
        <v>134905.93</v>
      </c>
      <c r="E43" s="196">
        <v>135718.64000000001</v>
      </c>
      <c r="F43" s="196">
        <v>36810.449999999997</v>
      </c>
    </row>
    <row r="45" spans="1:6" x14ac:dyDescent="0.2">
      <c r="A45" s="194"/>
      <c r="B45" s="195" t="s">
        <v>482</v>
      </c>
      <c r="C45" s="196"/>
      <c r="D45" s="196"/>
      <c r="E45" s="196"/>
      <c r="F45" s="196"/>
    </row>
    <row r="46" spans="1:6" x14ac:dyDescent="0.2">
      <c r="A46" s="186" t="s">
        <v>483</v>
      </c>
      <c r="B46" s="186" t="s">
        <v>484</v>
      </c>
      <c r="C46" s="178">
        <v>-500.68</v>
      </c>
      <c r="E46" s="178">
        <v>82.26</v>
      </c>
      <c r="F46" s="178">
        <v>-582.94000000000005</v>
      </c>
    </row>
    <row r="47" spans="1:6" x14ac:dyDescent="0.2">
      <c r="A47" s="186" t="s">
        <v>485</v>
      </c>
      <c r="B47" s="186" t="s">
        <v>486</v>
      </c>
      <c r="C47" s="178">
        <v>-44118.91</v>
      </c>
      <c r="F47" s="178">
        <v>-44118.91</v>
      </c>
    </row>
    <row r="48" spans="1:6" x14ac:dyDescent="0.2">
      <c r="A48" s="186" t="s">
        <v>487</v>
      </c>
      <c r="B48" s="186" t="s">
        <v>488</v>
      </c>
      <c r="C48" s="178">
        <v>-5030.17</v>
      </c>
      <c r="F48" s="178">
        <v>-5030.17</v>
      </c>
    </row>
    <row r="49" spans="1:6" x14ac:dyDescent="0.2">
      <c r="A49" s="186" t="s">
        <v>489</v>
      </c>
      <c r="B49" s="186" t="s">
        <v>490</v>
      </c>
      <c r="C49" s="178">
        <v>-375082.06</v>
      </c>
      <c r="D49" s="178">
        <v>212280.01</v>
      </c>
      <c r="E49" s="178">
        <v>187889.8</v>
      </c>
      <c r="F49" s="178">
        <v>-350691.85</v>
      </c>
    </row>
    <row r="50" spans="1:6" x14ac:dyDescent="0.2">
      <c r="A50" s="186" t="s">
        <v>491</v>
      </c>
      <c r="B50" s="186" t="s">
        <v>492</v>
      </c>
      <c r="C50" s="178">
        <v>-1095619.3400000001</v>
      </c>
      <c r="D50" s="178">
        <v>222256.25</v>
      </c>
      <c r="E50" s="178">
        <v>205725.16</v>
      </c>
      <c r="F50" s="178">
        <v>-1079088.25</v>
      </c>
    </row>
    <row r="51" spans="1:6" x14ac:dyDescent="0.2">
      <c r="A51" s="186" t="s">
        <v>493</v>
      </c>
      <c r="B51" s="186" t="s">
        <v>494</v>
      </c>
      <c r="C51" s="178">
        <v>-85054.85</v>
      </c>
      <c r="D51" s="178">
        <v>28924.959999999999</v>
      </c>
      <c r="E51" s="178">
        <v>30268.51</v>
      </c>
      <c r="F51" s="178">
        <v>-86398.399999999994</v>
      </c>
    </row>
    <row r="52" spans="1:6" x14ac:dyDescent="0.2">
      <c r="C52" s="197" t="s">
        <v>465</v>
      </c>
      <c r="D52" s="197" t="s">
        <v>465</v>
      </c>
      <c r="E52" s="197" t="s">
        <v>465</v>
      </c>
      <c r="F52" s="197" t="s">
        <v>465</v>
      </c>
    </row>
    <row r="53" spans="1:6" x14ac:dyDescent="0.2">
      <c r="A53" s="194"/>
      <c r="B53" s="195" t="s">
        <v>495</v>
      </c>
      <c r="C53" s="196">
        <v>-1605406.01</v>
      </c>
      <c r="D53" s="196">
        <v>463461.22</v>
      </c>
      <c r="E53" s="196">
        <v>423965.73</v>
      </c>
      <c r="F53" s="196">
        <v>-1565910.52</v>
      </c>
    </row>
    <row r="55" spans="1:6" x14ac:dyDescent="0.2">
      <c r="A55" s="194"/>
      <c r="B55" s="195" t="s">
        <v>496</v>
      </c>
      <c r="C55" s="196"/>
      <c r="D55" s="196"/>
      <c r="E55" s="196"/>
      <c r="F55" s="196"/>
    </row>
    <row r="56" spans="1:6" x14ac:dyDescent="0.2">
      <c r="A56" s="186" t="s">
        <v>497</v>
      </c>
      <c r="B56" s="186" t="s">
        <v>498</v>
      </c>
      <c r="C56" s="178">
        <v>14437</v>
      </c>
      <c r="F56" s="178">
        <v>14437</v>
      </c>
    </row>
    <row r="57" spans="1:6" x14ac:dyDescent="0.2">
      <c r="C57" s="197" t="s">
        <v>465</v>
      </c>
      <c r="D57" s="197" t="s">
        <v>465</v>
      </c>
      <c r="E57" s="197" t="s">
        <v>465</v>
      </c>
      <c r="F57" s="197" t="s">
        <v>465</v>
      </c>
    </row>
    <row r="58" spans="1:6" x14ac:dyDescent="0.2">
      <c r="A58" s="194"/>
      <c r="B58" s="195" t="s">
        <v>499</v>
      </c>
      <c r="C58" s="196">
        <v>14437</v>
      </c>
      <c r="D58" s="196"/>
      <c r="E58" s="196"/>
      <c r="F58" s="196">
        <v>14437</v>
      </c>
    </row>
    <row r="60" spans="1:6" x14ac:dyDescent="0.2">
      <c r="A60" s="194"/>
      <c r="B60" s="195" t="s">
        <v>500</v>
      </c>
      <c r="C60" s="196"/>
      <c r="D60" s="196"/>
      <c r="E60" s="196"/>
      <c r="F60" s="196"/>
    </row>
    <row r="61" spans="1:6" x14ac:dyDescent="0.2">
      <c r="A61" s="186" t="s">
        <v>501</v>
      </c>
      <c r="B61" s="186" t="s">
        <v>502</v>
      </c>
      <c r="C61" s="178">
        <v>1181</v>
      </c>
      <c r="D61" s="178">
        <v>8</v>
      </c>
      <c r="E61" s="178">
        <v>425</v>
      </c>
      <c r="F61" s="178">
        <v>764</v>
      </c>
    </row>
    <row r="62" spans="1:6" x14ac:dyDescent="0.2">
      <c r="C62" s="197" t="s">
        <v>465</v>
      </c>
      <c r="D62" s="197" t="s">
        <v>465</v>
      </c>
      <c r="E62" s="197" t="s">
        <v>465</v>
      </c>
      <c r="F62" s="197" t="s">
        <v>465</v>
      </c>
    </row>
    <row r="63" spans="1:6" x14ac:dyDescent="0.2">
      <c r="A63" s="194"/>
      <c r="B63" s="195" t="s">
        <v>503</v>
      </c>
      <c r="C63" s="196">
        <v>1181</v>
      </c>
      <c r="D63" s="196">
        <v>8</v>
      </c>
      <c r="E63" s="196">
        <v>425</v>
      </c>
      <c r="F63" s="196">
        <v>764</v>
      </c>
    </row>
    <row r="65" spans="1:6" x14ac:dyDescent="0.2">
      <c r="A65" s="194"/>
      <c r="B65" s="195" t="s">
        <v>504</v>
      </c>
      <c r="C65" s="196"/>
      <c r="D65" s="196"/>
      <c r="E65" s="196"/>
      <c r="F65" s="196"/>
    </row>
    <row r="66" spans="1:6" x14ac:dyDescent="0.2">
      <c r="A66" s="186" t="s">
        <v>505</v>
      </c>
      <c r="B66" s="186" t="s">
        <v>506</v>
      </c>
      <c r="D66" s="178">
        <v>37827</v>
      </c>
      <c r="E66" s="178">
        <v>37827</v>
      </c>
    </row>
    <row r="67" spans="1:6" x14ac:dyDescent="0.2">
      <c r="C67" s="197" t="s">
        <v>465</v>
      </c>
      <c r="D67" s="197" t="s">
        <v>465</v>
      </c>
      <c r="E67" s="197" t="s">
        <v>465</v>
      </c>
      <c r="F67" s="197" t="s">
        <v>465</v>
      </c>
    </row>
    <row r="68" spans="1:6" x14ac:dyDescent="0.2">
      <c r="A68" s="194"/>
      <c r="B68" s="195" t="s">
        <v>507</v>
      </c>
      <c r="C68" s="196"/>
      <c r="D68" s="196">
        <v>37827</v>
      </c>
      <c r="E68" s="196">
        <v>37827</v>
      </c>
      <c r="F68" s="196"/>
    </row>
    <row r="70" spans="1:6" x14ac:dyDescent="0.2">
      <c r="A70" s="194"/>
      <c r="B70" s="195" t="s">
        <v>508</v>
      </c>
      <c r="C70" s="196"/>
      <c r="D70" s="196"/>
      <c r="E70" s="196"/>
      <c r="F70" s="196"/>
    </row>
    <row r="71" spans="1:6" x14ac:dyDescent="0.2">
      <c r="A71" s="186" t="s">
        <v>509</v>
      </c>
      <c r="B71" s="186" t="s">
        <v>510</v>
      </c>
      <c r="C71" s="178">
        <v>44631.76</v>
      </c>
      <c r="D71" s="178">
        <v>137522.48000000001</v>
      </c>
      <c r="E71" s="178">
        <v>68989.240000000005</v>
      </c>
      <c r="F71" s="178">
        <v>113165</v>
      </c>
    </row>
    <row r="72" spans="1:6" x14ac:dyDescent="0.2">
      <c r="C72" s="197" t="s">
        <v>465</v>
      </c>
      <c r="D72" s="197" t="s">
        <v>465</v>
      </c>
      <c r="E72" s="197" t="s">
        <v>465</v>
      </c>
      <c r="F72" s="197" t="s">
        <v>465</v>
      </c>
    </row>
    <row r="73" spans="1:6" x14ac:dyDescent="0.2">
      <c r="A73" s="194"/>
      <c r="B73" s="195" t="s">
        <v>511</v>
      </c>
      <c r="C73" s="196">
        <v>44631.76</v>
      </c>
      <c r="D73" s="196">
        <v>137522.48000000001</v>
      </c>
      <c r="E73" s="196">
        <v>68989.240000000005</v>
      </c>
      <c r="F73" s="196">
        <v>113165</v>
      </c>
    </row>
    <row r="75" spans="1:6" x14ac:dyDescent="0.2">
      <c r="A75" s="194"/>
      <c r="B75" s="195" t="s">
        <v>512</v>
      </c>
      <c r="C75" s="196"/>
      <c r="D75" s="196"/>
      <c r="E75" s="196"/>
      <c r="F75" s="196"/>
    </row>
    <row r="76" spans="1:6" x14ac:dyDescent="0.2">
      <c r="A76" s="186" t="s">
        <v>513</v>
      </c>
      <c r="B76" s="186" t="s">
        <v>512</v>
      </c>
      <c r="C76" s="178">
        <v>713930.04</v>
      </c>
      <c r="F76" s="178">
        <v>713930.04</v>
      </c>
    </row>
    <row r="77" spans="1:6" x14ac:dyDescent="0.2">
      <c r="C77" s="197" t="s">
        <v>465</v>
      </c>
      <c r="D77" s="197" t="s">
        <v>465</v>
      </c>
      <c r="E77" s="197" t="s">
        <v>465</v>
      </c>
      <c r="F77" s="197" t="s">
        <v>465</v>
      </c>
    </row>
    <row r="78" spans="1:6" x14ac:dyDescent="0.2">
      <c r="A78" s="194"/>
      <c r="B78" s="195" t="s">
        <v>514</v>
      </c>
      <c r="C78" s="196">
        <v>713930.04</v>
      </c>
      <c r="D78" s="196"/>
      <c r="E78" s="196"/>
      <c r="F78" s="196">
        <v>713930.04</v>
      </c>
    </row>
    <row r="80" spans="1:6" x14ac:dyDescent="0.2">
      <c r="A80" s="194"/>
      <c r="B80" s="195" t="s">
        <v>515</v>
      </c>
      <c r="C80" s="196"/>
      <c r="D80" s="196"/>
      <c r="E80" s="196"/>
      <c r="F80" s="196"/>
    </row>
    <row r="81" spans="1:6" x14ac:dyDescent="0.2">
      <c r="A81" s="186" t="s">
        <v>516</v>
      </c>
      <c r="B81" s="186" t="s">
        <v>517</v>
      </c>
      <c r="C81" s="178">
        <v>-9257.8799999999992</v>
      </c>
      <c r="D81" s="178">
        <v>18945.09</v>
      </c>
      <c r="E81" s="178">
        <v>18092.29</v>
      </c>
      <c r="F81" s="178">
        <v>-8405.08</v>
      </c>
    </row>
    <row r="82" spans="1:6" x14ac:dyDescent="0.2">
      <c r="C82" s="197" t="s">
        <v>465</v>
      </c>
      <c r="D82" s="197" t="s">
        <v>465</v>
      </c>
      <c r="E82" s="197" t="s">
        <v>465</v>
      </c>
      <c r="F82" s="197" t="s">
        <v>465</v>
      </c>
    </row>
    <row r="83" spans="1:6" x14ac:dyDescent="0.2">
      <c r="A83" s="194"/>
      <c r="B83" s="195" t="s">
        <v>518</v>
      </c>
      <c r="C83" s="196">
        <v>-9257.8799999999992</v>
      </c>
      <c r="D83" s="196">
        <v>18945.09</v>
      </c>
      <c r="E83" s="196">
        <v>18092.29</v>
      </c>
      <c r="F83" s="196">
        <v>-8405.08</v>
      </c>
    </row>
    <row r="85" spans="1:6" x14ac:dyDescent="0.2">
      <c r="A85" s="194"/>
      <c r="B85" s="195" t="s">
        <v>519</v>
      </c>
      <c r="C85" s="196"/>
      <c r="D85" s="196"/>
      <c r="E85" s="196"/>
      <c r="F85" s="196"/>
    </row>
    <row r="86" spans="1:6" x14ac:dyDescent="0.2">
      <c r="A86" s="186" t="s">
        <v>520</v>
      </c>
      <c r="B86" s="186" t="s">
        <v>521</v>
      </c>
      <c r="C86" s="178">
        <v>-14679</v>
      </c>
      <c r="D86" s="178">
        <v>267.22000000000003</v>
      </c>
      <c r="E86" s="178">
        <v>817</v>
      </c>
      <c r="F86" s="178">
        <v>-15228.78</v>
      </c>
    </row>
    <row r="87" spans="1:6" x14ac:dyDescent="0.2">
      <c r="C87" s="197" t="s">
        <v>465</v>
      </c>
      <c r="D87" s="197" t="s">
        <v>465</v>
      </c>
      <c r="E87" s="197" t="s">
        <v>465</v>
      </c>
      <c r="F87" s="197" t="s">
        <v>465</v>
      </c>
    </row>
    <row r="88" spans="1:6" x14ac:dyDescent="0.2">
      <c r="A88" s="194"/>
      <c r="B88" s="195" t="s">
        <v>522</v>
      </c>
      <c r="C88" s="196">
        <v>-14679</v>
      </c>
      <c r="D88" s="196">
        <v>267.22000000000003</v>
      </c>
      <c r="E88" s="196">
        <v>817</v>
      </c>
      <c r="F88" s="196">
        <v>-15228.78</v>
      </c>
    </row>
    <row r="90" spans="1:6" x14ac:dyDescent="0.2">
      <c r="A90" s="194"/>
      <c r="B90" s="195" t="s">
        <v>523</v>
      </c>
      <c r="C90" s="196"/>
      <c r="D90" s="196"/>
      <c r="E90" s="196"/>
      <c r="F90" s="196"/>
    </row>
    <row r="91" spans="1:6" x14ac:dyDescent="0.2">
      <c r="A91" s="186" t="s">
        <v>524</v>
      </c>
      <c r="B91" s="186" t="s">
        <v>525</v>
      </c>
      <c r="C91" s="178">
        <v>-265.33999999999997</v>
      </c>
      <c r="D91" s="178">
        <v>243.86</v>
      </c>
      <c r="E91" s="178">
        <v>46.5</v>
      </c>
      <c r="F91" s="178">
        <v>-67.98</v>
      </c>
    </row>
    <row r="92" spans="1:6" x14ac:dyDescent="0.2">
      <c r="C92" s="197" t="s">
        <v>465</v>
      </c>
      <c r="D92" s="197" t="s">
        <v>465</v>
      </c>
      <c r="E92" s="197" t="s">
        <v>465</v>
      </c>
      <c r="F92" s="197" t="s">
        <v>465</v>
      </c>
    </row>
    <row r="93" spans="1:6" x14ac:dyDescent="0.2">
      <c r="A93" s="194"/>
      <c r="B93" s="195" t="s">
        <v>526</v>
      </c>
      <c r="C93" s="196">
        <v>-265.33999999999997</v>
      </c>
      <c r="D93" s="196">
        <v>243.86</v>
      </c>
      <c r="E93" s="196">
        <v>46.5</v>
      </c>
      <c r="F93" s="196">
        <v>-67.98</v>
      </c>
    </row>
    <row r="95" spans="1:6" x14ac:dyDescent="0.2">
      <c r="A95" s="194"/>
      <c r="B95" s="195" t="s">
        <v>527</v>
      </c>
      <c r="C95" s="196"/>
      <c r="D95" s="196"/>
      <c r="E95" s="196"/>
      <c r="F95" s="196"/>
    </row>
    <row r="96" spans="1:6" x14ac:dyDescent="0.2">
      <c r="A96" s="186" t="s">
        <v>528</v>
      </c>
      <c r="B96" s="186" t="s">
        <v>529</v>
      </c>
      <c r="C96" s="178">
        <v>157882.20000000001</v>
      </c>
      <c r="D96" s="178">
        <v>22126</v>
      </c>
      <c r="E96" s="178">
        <v>72079</v>
      </c>
      <c r="F96" s="178">
        <v>107929.2</v>
      </c>
    </row>
    <row r="97" spans="1:9" x14ac:dyDescent="0.2">
      <c r="A97" s="186" t="s">
        <v>530</v>
      </c>
      <c r="B97" s="186" t="s">
        <v>531</v>
      </c>
      <c r="C97" s="178">
        <v>31489</v>
      </c>
      <c r="D97" s="178">
        <v>2841</v>
      </c>
      <c r="E97" s="178">
        <v>4179</v>
      </c>
      <c r="F97" s="178">
        <v>30151</v>
      </c>
    </row>
    <row r="98" spans="1:9" x14ac:dyDescent="0.2">
      <c r="C98" s="197" t="s">
        <v>465</v>
      </c>
      <c r="D98" s="197" t="s">
        <v>465</v>
      </c>
      <c r="E98" s="197" t="s">
        <v>465</v>
      </c>
      <c r="F98" s="197" t="s">
        <v>465</v>
      </c>
    </row>
    <row r="99" spans="1:9" x14ac:dyDescent="0.2">
      <c r="A99" s="194"/>
      <c r="B99" s="195" t="s">
        <v>532</v>
      </c>
      <c r="C99" s="196">
        <v>189371.2</v>
      </c>
      <c r="D99" s="196">
        <v>24967</v>
      </c>
      <c r="E99" s="196">
        <v>76258</v>
      </c>
      <c r="F99" s="196">
        <v>138080.20000000001</v>
      </c>
    </row>
    <row r="101" spans="1:9" x14ac:dyDescent="0.2">
      <c r="A101" s="194"/>
      <c r="B101" s="195" t="s">
        <v>533</v>
      </c>
      <c r="C101" s="196"/>
      <c r="D101" s="196"/>
      <c r="E101" s="196"/>
      <c r="F101" s="196"/>
    </row>
    <row r="102" spans="1:9" x14ac:dyDescent="0.2">
      <c r="A102" s="186" t="s">
        <v>31</v>
      </c>
      <c r="B102" s="186" t="s">
        <v>533</v>
      </c>
      <c r="D102" s="178">
        <v>13749</v>
      </c>
      <c r="E102" s="178">
        <v>4349</v>
      </c>
      <c r="F102" s="178">
        <v>9400</v>
      </c>
      <c r="H102" s="203">
        <f>-'Q1 Activity'!D26</f>
        <v>-9401</v>
      </c>
      <c r="I102" s="204">
        <f>SUM(F102:H102)</f>
        <v>-1</v>
      </c>
    </row>
    <row r="103" spans="1:9" x14ac:dyDescent="0.2">
      <c r="A103" s="186" t="s">
        <v>49</v>
      </c>
      <c r="B103" s="186" t="s">
        <v>534</v>
      </c>
      <c r="C103" s="178">
        <v>-60316</v>
      </c>
      <c r="F103" s="178">
        <v>-60316</v>
      </c>
      <c r="H103" s="177">
        <f>VLOOKUP(A103,'Q1 Activity'!$A$31:$B$42,2,0)</f>
        <v>-3016</v>
      </c>
      <c r="I103" s="204">
        <f t="shared" ref="I103:I114" si="0">SUM(F103:H103)</f>
        <v>-63332</v>
      </c>
    </row>
    <row r="104" spans="1:9" x14ac:dyDescent="0.2">
      <c r="A104" s="186" t="s">
        <v>51</v>
      </c>
      <c r="B104" s="186" t="s">
        <v>535</v>
      </c>
      <c r="C104" s="178">
        <v>464</v>
      </c>
      <c r="F104" s="178">
        <v>464</v>
      </c>
      <c r="H104" s="177">
        <f>VLOOKUP(A104,'Q1 Activity'!$A$31:$B$42,2,0)</f>
        <v>258</v>
      </c>
      <c r="I104" s="204">
        <f t="shared" si="0"/>
        <v>722</v>
      </c>
    </row>
    <row r="105" spans="1:9" x14ac:dyDescent="0.2">
      <c r="A105" s="186" t="s">
        <v>44</v>
      </c>
      <c r="B105" s="186" t="s">
        <v>536</v>
      </c>
      <c r="D105" s="178">
        <v>2996</v>
      </c>
      <c r="E105" s="178">
        <v>601</v>
      </c>
      <c r="F105" s="178">
        <v>2395</v>
      </c>
      <c r="H105" s="177">
        <f>VLOOKUP(A105,'Q1 Activity'!$A$31:$B$42,2,0)</f>
        <v>0</v>
      </c>
      <c r="I105" s="204">
        <f t="shared" si="0"/>
        <v>2395</v>
      </c>
    </row>
    <row r="106" spans="1:9" x14ac:dyDescent="0.2">
      <c r="A106" s="186" t="s">
        <v>242</v>
      </c>
      <c r="B106" s="186" t="s">
        <v>537</v>
      </c>
      <c r="C106" s="178">
        <v>2082</v>
      </c>
      <c r="F106" s="178">
        <v>2082</v>
      </c>
      <c r="H106" s="177">
        <f>VLOOKUP(A106,'Q1 Activity'!$A$31:$B$42,2,0)</f>
        <v>492</v>
      </c>
      <c r="I106" s="204">
        <f t="shared" si="0"/>
        <v>2574</v>
      </c>
    </row>
    <row r="107" spans="1:9" x14ac:dyDescent="0.2">
      <c r="A107" s="186" t="s">
        <v>41</v>
      </c>
      <c r="B107" s="186" t="s">
        <v>538</v>
      </c>
      <c r="C107" s="178">
        <v>-76277</v>
      </c>
      <c r="F107" s="178">
        <v>-76277</v>
      </c>
      <c r="H107" s="177">
        <f>VLOOKUP(A107,'Q1 Activity'!$A$31:$B$42,2,0)</f>
        <v>-1332</v>
      </c>
      <c r="I107" s="204">
        <f t="shared" si="0"/>
        <v>-77609</v>
      </c>
    </row>
    <row r="108" spans="1:9" x14ac:dyDescent="0.2">
      <c r="A108" s="186" t="s">
        <v>87</v>
      </c>
      <c r="B108" s="186" t="s">
        <v>539</v>
      </c>
      <c r="C108" s="178">
        <v>-300</v>
      </c>
      <c r="F108" s="178">
        <v>-300</v>
      </c>
      <c r="H108" s="177">
        <f>VLOOKUP(A108,'Q1 Activity'!$A$31:$B$42,2,0)</f>
        <v>-1</v>
      </c>
      <c r="I108" s="204">
        <f t="shared" si="0"/>
        <v>-301</v>
      </c>
    </row>
    <row r="109" spans="1:9" x14ac:dyDescent="0.2">
      <c r="A109" s="186" t="s">
        <v>50</v>
      </c>
      <c r="B109" s="186" t="s">
        <v>540</v>
      </c>
      <c r="C109" s="178">
        <v>2993</v>
      </c>
      <c r="F109" s="178">
        <v>2993</v>
      </c>
      <c r="H109" s="177">
        <f>VLOOKUP(A109,'Q1 Activity'!$A$31:$B$42,2,0)</f>
        <v>12997</v>
      </c>
      <c r="I109" s="204">
        <f t="shared" si="0"/>
        <v>15990</v>
      </c>
    </row>
    <row r="110" spans="1:9" x14ac:dyDescent="0.2">
      <c r="A110" s="186" t="s">
        <v>127</v>
      </c>
      <c r="B110" s="186" t="s">
        <v>541</v>
      </c>
      <c r="C110" s="178">
        <v>-91</v>
      </c>
      <c r="F110" s="178">
        <v>-91</v>
      </c>
      <c r="H110" s="177">
        <f>VLOOKUP(A110,'Q1 Activity'!$A$31:$B$42,2,0)</f>
        <v>2</v>
      </c>
      <c r="I110" s="204">
        <f t="shared" si="0"/>
        <v>-89</v>
      </c>
    </row>
    <row r="111" spans="1:9" x14ac:dyDescent="0.2">
      <c r="A111" s="186" t="s">
        <v>135</v>
      </c>
      <c r="B111" s="186" t="s">
        <v>542</v>
      </c>
      <c r="D111" s="178">
        <v>1369</v>
      </c>
      <c r="F111" s="178">
        <v>1369</v>
      </c>
      <c r="I111" s="204">
        <f t="shared" si="0"/>
        <v>1369</v>
      </c>
    </row>
    <row r="112" spans="1:9" x14ac:dyDescent="0.2">
      <c r="A112" s="186" t="s">
        <v>122</v>
      </c>
      <c r="B112" s="186" t="s">
        <v>543</v>
      </c>
      <c r="C112" s="178">
        <v>-8455</v>
      </c>
      <c r="F112" s="178">
        <v>-8455</v>
      </c>
      <c r="H112" s="177">
        <f>VLOOKUP(A112,'Q1 Activity'!$A$31:$B$42,2,0)</f>
        <v>0</v>
      </c>
      <c r="I112" s="204">
        <f t="shared" si="0"/>
        <v>-8455</v>
      </c>
    </row>
    <row r="113" spans="1:9" x14ac:dyDescent="0.2">
      <c r="A113" s="186" t="s">
        <v>143</v>
      </c>
      <c r="B113" s="186" t="s">
        <v>544</v>
      </c>
      <c r="D113" s="178">
        <v>3063</v>
      </c>
      <c r="F113" s="178">
        <v>3063</v>
      </c>
      <c r="I113" s="204">
        <f t="shared" si="0"/>
        <v>3063</v>
      </c>
    </row>
    <row r="114" spans="1:9" x14ac:dyDescent="0.2">
      <c r="A114" s="186" t="s">
        <v>132</v>
      </c>
      <c r="B114" s="186" t="s">
        <v>545</v>
      </c>
      <c r="C114" s="178">
        <v>24791</v>
      </c>
      <c r="D114" s="178">
        <v>160</v>
      </c>
      <c r="E114" s="178">
        <v>1370</v>
      </c>
      <c r="F114" s="178">
        <v>23581</v>
      </c>
      <c r="H114" s="177">
        <f>VLOOKUP(A114,'Q1 Activity'!$A$31:$B$42,2,0)</f>
        <v>0</v>
      </c>
      <c r="I114" s="204">
        <f t="shared" si="0"/>
        <v>23581</v>
      </c>
    </row>
    <row r="115" spans="1:9" x14ac:dyDescent="0.2">
      <c r="C115" s="197" t="s">
        <v>465</v>
      </c>
      <c r="D115" s="197" t="s">
        <v>465</v>
      </c>
      <c r="E115" s="197" t="s">
        <v>465</v>
      </c>
      <c r="F115" s="197" t="s">
        <v>465</v>
      </c>
      <c r="H115" s="197" t="s">
        <v>465</v>
      </c>
      <c r="I115" s="197" t="s">
        <v>465</v>
      </c>
    </row>
    <row r="116" spans="1:9" x14ac:dyDescent="0.2">
      <c r="A116" s="194"/>
      <c r="B116" s="195" t="s">
        <v>546</v>
      </c>
      <c r="C116" s="196">
        <v>-115109</v>
      </c>
      <c r="D116" s="196">
        <v>21337</v>
      </c>
      <c r="E116" s="196">
        <v>6320</v>
      </c>
      <c r="F116" s="196">
        <v>-100092</v>
      </c>
      <c r="H116" s="196">
        <f>SUM(H102:H114)</f>
        <v>-1</v>
      </c>
      <c r="I116" s="196">
        <f>SUM(I102:I114)</f>
        <v>-100093</v>
      </c>
    </row>
    <row r="118" spans="1:9" x14ac:dyDescent="0.2">
      <c r="A118" s="194"/>
      <c r="B118" s="195" t="s">
        <v>547</v>
      </c>
      <c r="C118" s="196"/>
      <c r="D118" s="196"/>
      <c r="E118" s="196"/>
      <c r="F118" s="196"/>
    </row>
    <row r="119" spans="1:9" x14ac:dyDescent="0.2">
      <c r="A119" s="186" t="s">
        <v>548</v>
      </c>
      <c r="B119" s="186" t="s">
        <v>549</v>
      </c>
      <c r="C119" s="178">
        <v>-8215.49</v>
      </c>
      <c r="D119" s="178">
        <v>26982.14</v>
      </c>
      <c r="E119" s="178">
        <v>28924.959999999999</v>
      </c>
      <c r="F119" s="178">
        <v>-10158.31</v>
      </c>
    </row>
    <row r="120" spans="1:9" x14ac:dyDescent="0.2">
      <c r="A120" s="186" t="s">
        <v>550</v>
      </c>
      <c r="B120" s="186" t="s">
        <v>551</v>
      </c>
      <c r="C120" s="178">
        <v>-13525</v>
      </c>
      <c r="D120" s="178">
        <v>4579</v>
      </c>
      <c r="E120" s="178">
        <v>1295</v>
      </c>
      <c r="F120" s="178">
        <v>-10241</v>
      </c>
    </row>
    <row r="121" spans="1:9" x14ac:dyDescent="0.2">
      <c r="C121" s="197" t="s">
        <v>465</v>
      </c>
      <c r="D121" s="197" t="s">
        <v>465</v>
      </c>
      <c r="E121" s="197" t="s">
        <v>465</v>
      </c>
      <c r="F121" s="197" t="s">
        <v>465</v>
      </c>
    </row>
    <row r="122" spans="1:9" x14ac:dyDescent="0.2">
      <c r="A122" s="194"/>
      <c r="B122" s="195" t="s">
        <v>552</v>
      </c>
      <c r="C122" s="196">
        <v>-21740.49</v>
      </c>
      <c r="D122" s="196">
        <v>31561.14</v>
      </c>
      <c r="E122" s="196">
        <v>30219.96</v>
      </c>
      <c r="F122" s="196">
        <v>-20399.310000000001</v>
      </c>
    </row>
    <row r="124" spans="1:9" x14ac:dyDescent="0.2">
      <c r="A124" s="194"/>
      <c r="B124" s="195" t="s">
        <v>553</v>
      </c>
      <c r="C124" s="196"/>
      <c r="D124" s="196"/>
      <c r="E124" s="196"/>
      <c r="F124" s="196"/>
    </row>
    <row r="125" spans="1:9" x14ac:dyDescent="0.2">
      <c r="A125" s="186" t="s">
        <v>554</v>
      </c>
      <c r="B125" s="186" t="s">
        <v>555</v>
      </c>
      <c r="E125" s="178">
        <v>3255</v>
      </c>
      <c r="F125" s="178">
        <v>-3255</v>
      </c>
    </row>
    <row r="126" spans="1:9" x14ac:dyDescent="0.2">
      <c r="C126" s="197" t="s">
        <v>465</v>
      </c>
      <c r="D126" s="197" t="s">
        <v>465</v>
      </c>
      <c r="E126" s="197" t="s">
        <v>465</v>
      </c>
      <c r="F126" s="197" t="s">
        <v>465</v>
      </c>
    </row>
    <row r="127" spans="1:9" x14ac:dyDescent="0.2">
      <c r="A127" s="194"/>
      <c r="B127" s="195" t="s">
        <v>556</v>
      </c>
      <c r="C127" s="196"/>
      <c r="D127" s="196"/>
      <c r="E127" s="196">
        <v>3255</v>
      </c>
      <c r="F127" s="196">
        <v>-3255</v>
      </c>
    </row>
    <row r="129" spans="1:6" x14ac:dyDescent="0.2">
      <c r="A129" s="194"/>
      <c r="B129" s="195" t="s">
        <v>557</v>
      </c>
      <c r="C129" s="196"/>
      <c r="D129" s="196"/>
      <c r="E129" s="196"/>
      <c r="F129" s="196"/>
    </row>
    <row r="130" spans="1:6" x14ac:dyDescent="0.2">
      <c r="A130" s="186" t="s">
        <v>558</v>
      </c>
      <c r="B130" s="186" t="s">
        <v>559</v>
      </c>
      <c r="E130" s="178">
        <v>2602.4699999999998</v>
      </c>
      <c r="F130" s="178">
        <v>-2602.4699999999998</v>
      </c>
    </row>
    <row r="131" spans="1:6" x14ac:dyDescent="0.2">
      <c r="A131" s="186" t="s">
        <v>560</v>
      </c>
      <c r="B131" s="186" t="s">
        <v>561</v>
      </c>
      <c r="C131" s="178">
        <v>-1946.7</v>
      </c>
      <c r="D131" s="178">
        <v>5194.79</v>
      </c>
      <c r="E131" s="178">
        <v>4834.29</v>
      </c>
      <c r="F131" s="178">
        <v>-1586.2</v>
      </c>
    </row>
    <row r="132" spans="1:6" x14ac:dyDescent="0.2">
      <c r="A132" s="186" t="s">
        <v>562</v>
      </c>
      <c r="B132" s="186" t="s">
        <v>563</v>
      </c>
      <c r="C132" s="178">
        <v>-685.27</v>
      </c>
      <c r="D132" s="178">
        <v>685.27</v>
      </c>
      <c r="E132" s="178">
        <v>500.12</v>
      </c>
      <c r="F132" s="178">
        <v>-500.12</v>
      </c>
    </row>
    <row r="133" spans="1:6" x14ac:dyDescent="0.2">
      <c r="A133" s="186" t="s">
        <v>564</v>
      </c>
      <c r="B133" s="186" t="s">
        <v>565</v>
      </c>
      <c r="C133" s="178">
        <v>-501.68</v>
      </c>
      <c r="D133" s="178">
        <v>1882.87</v>
      </c>
      <c r="E133" s="178">
        <v>1810.26</v>
      </c>
      <c r="F133" s="178">
        <v>-429.07</v>
      </c>
    </row>
    <row r="134" spans="1:6" x14ac:dyDescent="0.2">
      <c r="A134" s="186" t="s">
        <v>566</v>
      </c>
      <c r="B134" s="186" t="s">
        <v>567</v>
      </c>
      <c r="C134" s="178">
        <v>-1895.28</v>
      </c>
      <c r="D134" s="178">
        <v>5567.97</v>
      </c>
      <c r="E134" s="178">
        <v>5411.8</v>
      </c>
      <c r="F134" s="178">
        <v>-1739.11</v>
      </c>
    </row>
    <row r="135" spans="1:6" x14ac:dyDescent="0.2">
      <c r="A135" s="186" t="s">
        <v>568</v>
      </c>
      <c r="B135" s="186" t="s">
        <v>569</v>
      </c>
      <c r="C135" s="178">
        <v>-16330.44</v>
      </c>
      <c r="D135" s="178">
        <v>6</v>
      </c>
      <c r="E135" s="178">
        <v>1404.46</v>
      </c>
      <c r="F135" s="178">
        <v>-17728.900000000001</v>
      </c>
    </row>
    <row r="136" spans="1:6" x14ac:dyDescent="0.2">
      <c r="C136" s="197" t="s">
        <v>465</v>
      </c>
      <c r="D136" s="197" t="s">
        <v>465</v>
      </c>
      <c r="E136" s="197" t="s">
        <v>465</v>
      </c>
      <c r="F136" s="197" t="s">
        <v>465</v>
      </c>
    </row>
    <row r="137" spans="1:6" x14ac:dyDescent="0.2">
      <c r="A137" s="194"/>
      <c r="B137" s="195" t="s">
        <v>570</v>
      </c>
      <c r="C137" s="196">
        <v>-21359.37</v>
      </c>
      <c r="D137" s="196">
        <v>13336.9</v>
      </c>
      <c r="E137" s="196">
        <v>16563.400000000001</v>
      </c>
      <c r="F137" s="196">
        <v>-24585.87</v>
      </c>
    </row>
    <row r="139" spans="1:6" x14ac:dyDescent="0.2">
      <c r="A139" s="194"/>
      <c r="B139" s="195" t="s">
        <v>571</v>
      </c>
      <c r="C139" s="196"/>
      <c r="D139" s="196"/>
      <c r="E139" s="196"/>
      <c r="F139" s="196"/>
    </row>
    <row r="140" spans="1:6" x14ac:dyDescent="0.2">
      <c r="A140" s="186" t="s">
        <v>227</v>
      </c>
      <c r="B140" s="186" t="s">
        <v>572</v>
      </c>
      <c r="C140" s="178">
        <v>-97813</v>
      </c>
      <c r="D140" s="178">
        <v>5403</v>
      </c>
      <c r="E140" s="178">
        <v>630</v>
      </c>
      <c r="F140" s="178">
        <v>-93040</v>
      </c>
    </row>
    <row r="141" spans="1:6" x14ac:dyDescent="0.2">
      <c r="C141" s="197" t="s">
        <v>465</v>
      </c>
      <c r="D141" s="197" t="s">
        <v>465</v>
      </c>
      <c r="E141" s="197" t="s">
        <v>465</v>
      </c>
      <c r="F141" s="197" t="s">
        <v>465</v>
      </c>
    </row>
    <row r="142" spans="1:6" x14ac:dyDescent="0.2">
      <c r="A142" s="194"/>
      <c r="B142" s="195" t="s">
        <v>573</v>
      </c>
      <c r="C142" s="196">
        <v>-97813</v>
      </c>
      <c r="D142" s="196">
        <v>5403</v>
      </c>
      <c r="E142" s="196">
        <v>630</v>
      </c>
      <c r="F142" s="196">
        <v>-93040</v>
      </c>
    </row>
    <row r="144" spans="1:6" x14ac:dyDescent="0.2">
      <c r="A144" s="194"/>
      <c r="B144" s="195" t="s">
        <v>574</v>
      </c>
      <c r="C144" s="196"/>
      <c r="D144" s="196"/>
      <c r="E144" s="196"/>
      <c r="F144" s="196"/>
    </row>
    <row r="145" spans="1:6" x14ac:dyDescent="0.2">
      <c r="A145" s="186" t="s">
        <v>575</v>
      </c>
      <c r="B145" s="186" t="s">
        <v>576</v>
      </c>
      <c r="E145" s="178">
        <v>12087</v>
      </c>
      <c r="F145" s="178">
        <v>-12087</v>
      </c>
    </row>
    <row r="146" spans="1:6" x14ac:dyDescent="0.2">
      <c r="C146" s="197" t="s">
        <v>465</v>
      </c>
      <c r="D146" s="197" t="s">
        <v>465</v>
      </c>
      <c r="E146" s="197" t="s">
        <v>465</v>
      </c>
      <c r="F146" s="197" t="s">
        <v>465</v>
      </c>
    </row>
    <row r="147" spans="1:6" x14ac:dyDescent="0.2">
      <c r="A147" s="194"/>
      <c r="B147" s="195" t="s">
        <v>577</v>
      </c>
      <c r="C147" s="196"/>
      <c r="D147" s="196"/>
      <c r="E147" s="196">
        <v>12087</v>
      </c>
      <c r="F147" s="196">
        <v>-12087</v>
      </c>
    </row>
    <row r="149" spans="1:6" x14ac:dyDescent="0.2">
      <c r="A149" s="194"/>
      <c r="B149" s="195" t="s">
        <v>578</v>
      </c>
      <c r="C149" s="196"/>
      <c r="D149" s="196"/>
      <c r="E149" s="196"/>
      <c r="F149" s="196"/>
    </row>
    <row r="150" spans="1:6" x14ac:dyDescent="0.2">
      <c r="A150" s="186" t="s">
        <v>579</v>
      </c>
      <c r="B150" s="186" t="s">
        <v>580</v>
      </c>
      <c r="D150" s="178">
        <v>2372</v>
      </c>
      <c r="E150" s="178">
        <v>8566</v>
      </c>
      <c r="F150" s="178">
        <v>-6194</v>
      </c>
    </row>
    <row r="151" spans="1:6" x14ac:dyDescent="0.2">
      <c r="A151" s="186" t="s">
        <v>581</v>
      </c>
      <c r="B151" s="186" t="s">
        <v>582</v>
      </c>
      <c r="C151" s="178">
        <v>187539.58</v>
      </c>
      <c r="D151" s="178">
        <v>193386.89</v>
      </c>
      <c r="E151" s="178">
        <v>181239.09</v>
      </c>
      <c r="F151" s="178">
        <v>199687.38</v>
      </c>
    </row>
    <row r="152" spans="1:6" x14ac:dyDescent="0.2">
      <c r="A152" s="186" t="s">
        <v>583</v>
      </c>
      <c r="B152" s="186" t="s">
        <v>584</v>
      </c>
      <c r="E152" s="178">
        <v>5403</v>
      </c>
      <c r="F152" s="178">
        <v>-5403</v>
      </c>
    </row>
    <row r="153" spans="1:6" x14ac:dyDescent="0.2">
      <c r="C153" s="197" t="s">
        <v>465</v>
      </c>
      <c r="D153" s="197" t="s">
        <v>465</v>
      </c>
      <c r="E153" s="197" t="s">
        <v>465</v>
      </c>
      <c r="F153" s="197" t="s">
        <v>465</v>
      </c>
    </row>
    <row r="154" spans="1:6" x14ac:dyDescent="0.2">
      <c r="A154" s="194"/>
      <c r="B154" s="195" t="s">
        <v>585</v>
      </c>
      <c r="C154" s="196">
        <v>187539.58</v>
      </c>
      <c r="D154" s="196">
        <v>195758.89</v>
      </c>
      <c r="E154" s="196">
        <v>195208.09</v>
      </c>
      <c r="F154" s="196">
        <v>188090.38</v>
      </c>
    </row>
    <row r="156" spans="1:6" x14ac:dyDescent="0.2">
      <c r="A156" s="200"/>
      <c r="B156" s="198" t="s">
        <v>438</v>
      </c>
      <c r="C156" s="199">
        <v>187539.58</v>
      </c>
      <c r="D156" s="199">
        <v>195758.89</v>
      </c>
      <c r="E156" s="199">
        <v>195208.09</v>
      </c>
      <c r="F156" s="199">
        <v>188090.38</v>
      </c>
    </row>
    <row r="157" spans="1:6" ht="13.5" thickBot="1" x14ac:dyDescent="0.25">
      <c r="A157" s="201"/>
      <c r="B157" s="201"/>
      <c r="C157" s="202"/>
      <c r="D157" s="202"/>
      <c r="E157" s="202"/>
      <c r="F157" s="202"/>
    </row>
    <row r="158" spans="1:6" ht="13.5" thickTop="1" x14ac:dyDescent="0.2">
      <c r="A158" s="194"/>
      <c r="B158" s="195" t="s">
        <v>586</v>
      </c>
      <c r="C158" s="196"/>
      <c r="D158" s="196"/>
      <c r="E158" s="196"/>
      <c r="F158" s="196"/>
    </row>
    <row r="159" spans="1:6" x14ac:dyDescent="0.2">
      <c r="A159" s="183"/>
      <c r="B159" s="184" t="s">
        <v>587</v>
      </c>
      <c r="C159" s="185"/>
      <c r="D159" s="185"/>
      <c r="E159" s="185"/>
      <c r="F159" s="185"/>
    </row>
    <row r="160" spans="1:6" x14ac:dyDescent="0.2">
      <c r="A160" s="186" t="s">
        <v>588</v>
      </c>
      <c r="B160" s="186" t="s">
        <v>589</v>
      </c>
      <c r="D160" s="178">
        <v>40119</v>
      </c>
      <c r="E160" s="178">
        <v>41456.93</v>
      </c>
      <c r="F160" s="178">
        <v>-1337.93</v>
      </c>
    </row>
    <row r="161" spans="1:6" x14ac:dyDescent="0.2">
      <c r="A161" s="186" t="s">
        <v>590</v>
      </c>
      <c r="B161" s="186" t="s">
        <v>591</v>
      </c>
      <c r="E161" s="178">
        <v>101.66</v>
      </c>
      <c r="F161" s="178">
        <v>-101.66</v>
      </c>
    </row>
    <row r="162" spans="1:6" x14ac:dyDescent="0.2">
      <c r="A162" s="186" t="s">
        <v>592</v>
      </c>
      <c r="B162" s="186" t="s">
        <v>593</v>
      </c>
      <c r="D162" s="178">
        <v>1230</v>
      </c>
      <c r="E162" s="178">
        <v>51136.3</v>
      </c>
      <c r="F162" s="178">
        <v>-49906.3</v>
      </c>
    </row>
    <row r="163" spans="1:6" x14ac:dyDescent="0.2">
      <c r="A163" s="186" t="s">
        <v>594</v>
      </c>
      <c r="B163" s="186" t="s">
        <v>561</v>
      </c>
      <c r="E163" s="178">
        <v>4826.9799999999996</v>
      </c>
      <c r="F163" s="178">
        <v>-4826.9799999999996</v>
      </c>
    </row>
    <row r="164" spans="1:6" x14ac:dyDescent="0.2">
      <c r="A164" s="186" t="s">
        <v>595</v>
      </c>
      <c r="B164" s="186" t="s">
        <v>596</v>
      </c>
      <c r="E164" s="178">
        <v>1810.26</v>
      </c>
      <c r="F164" s="178">
        <v>-1810.26</v>
      </c>
    </row>
    <row r="165" spans="1:6" x14ac:dyDescent="0.2">
      <c r="C165" s="197" t="s">
        <v>465</v>
      </c>
      <c r="D165" s="197" t="s">
        <v>465</v>
      </c>
      <c r="E165" s="197" t="s">
        <v>465</v>
      </c>
      <c r="F165" s="197" t="s">
        <v>465</v>
      </c>
    </row>
    <row r="166" spans="1:6" x14ac:dyDescent="0.2">
      <c r="A166" s="183"/>
      <c r="B166" s="184" t="s">
        <v>597</v>
      </c>
      <c r="C166" s="185"/>
      <c r="D166" s="185">
        <v>41349</v>
      </c>
      <c r="E166" s="185">
        <v>99332.13</v>
      </c>
      <c r="F166" s="185">
        <v>-57983.13</v>
      </c>
    </row>
    <row r="168" spans="1:6" x14ac:dyDescent="0.2">
      <c r="A168" s="183"/>
      <c r="B168" s="184" t="s">
        <v>598</v>
      </c>
      <c r="C168" s="185"/>
      <c r="D168" s="185"/>
      <c r="E168" s="185"/>
      <c r="F168" s="185"/>
    </row>
    <row r="169" spans="1:6" x14ac:dyDescent="0.2">
      <c r="C169" s="197" t="s">
        <v>465</v>
      </c>
      <c r="D169" s="197" t="s">
        <v>465</v>
      </c>
      <c r="E169" s="197" t="s">
        <v>465</v>
      </c>
      <c r="F169" s="197" t="s">
        <v>465</v>
      </c>
    </row>
    <row r="170" spans="1:6" x14ac:dyDescent="0.2">
      <c r="A170" s="183"/>
      <c r="B170" s="184" t="s">
        <v>599</v>
      </c>
      <c r="C170" s="185"/>
      <c r="D170" s="185">
        <v>41349</v>
      </c>
      <c r="E170" s="185">
        <v>99332.13</v>
      </c>
      <c r="F170" s="185">
        <v>-57983.13</v>
      </c>
    </row>
    <row r="173" spans="1:6" x14ac:dyDescent="0.2">
      <c r="A173" s="183"/>
      <c r="B173" s="184" t="s">
        <v>600</v>
      </c>
      <c r="C173" s="185"/>
      <c r="D173" s="185"/>
      <c r="E173" s="185"/>
      <c r="F173" s="185"/>
    </row>
    <row r="174" spans="1:6" x14ac:dyDescent="0.2">
      <c r="A174" s="186" t="s">
        <v>601</v>
      </c>
      <c r="B174" s="186" t="s">
        <v>602</v>
      </c>
      <c r="D174" s="178">
        <v>24192.58</v>
      </c>
      <c r="E174" s="178">
        <v>24137.96</v>
      </c>
      <c r="F174" s="178">
        <v>54.62</v>
      </c>
    </row>
    <row r="175" spans="1:6" x14ac:dyDescent="0.2">
      <c r="A175" s="186" t="s">
        <v>603</v>
      </c>
      <c r="B175" s="186" t="s">
        <v>604</v>
      </c>
      <c r="E175" s="178">
        <v>3201.23</v>
      </c>
      <c r="F175" s="178">
        <v>-3201.23</v>
      </c>
    </row>
    <row r="176" spans="1:6" x14ac:dyDescent="0.2">
      <c r="A176" s="186" t="s">
        <v>605</v>
      </c>
      <c r="B176" s="186" t="s">
        <v>606</v>
      </c>
      <c r="E176" s="178">
        <v>1915.06</v>
      </c>
      <c r="F176" s="178">
        <v>-1915.06</v>
      </c>
    </row>
    <row r="177" spans="1:6" x14ac:dyDescent="0.2">
      <c r="A177" s="186" t="s">
        <v>607</v>
      </c>
      <c r="B177" s="186" t="s">
        <v>608</v>
      </c>
      <c r="D177" s="178">
        <v>15</v>
      </c>
      <c r="E177" s="178">
        <v>22.62</v>
      </c>
      <c r="F177" s="178">
        <v>-7.62</v>
      </c>
    </row>
    <row r="178" spans="1:6" x14ac:dyDescent="0.2">
      <c r="A178" s="186" t="s">
        <v>609</v>
      </c>
      <c r="B178" s="186" t="s">
        <v>610</v>
      </c>
      <c r="E178" s="178">
        <v>500</v>
      </c>
      <c r="F178" s="178">
        <v>-500</v>
      </c>
    </row>
    <row r="179" spans="1:6" x14ac:dyDescent="0.2">
      <c r="A179" s="186" t="s">
        <v>611</v>
      </c>
      <c r="B179" s="186" t="s">
        <v>612</v>
      </c>
      <c r="E179" s="178">
        <v>69</v>
      </c>
      <c r="F179" s="178">
        <v>-69</v>
      </c>
    </row>
    <row r="180" spans="1:6" x14ac:dyDescent="0.2">
      <c r="A180" s="186" t="s">
        <v>613</v>
      </c>
      <c r="B180" s="186" t="s">
        <v>614</v>
      </c>
      <c r="E180" s="178">
        <v>30</v>
      </c>
      <c r="F180" s="178">
        <v>-30</v>
      </c>
    </row>
    <row r="181" spans="1:6" x14ac:dyDescent="0.2">
      <c r="A181" s="186" t="s">
        <v>615</v>
      </c>
      <c r="B181" s="186" t="s">
        <v>616</v>
      </c>
      <c r="E181" s="178">
        <v>382</v>
      </c>
      <c r="F181" s="178">
        <v>-382</v>
      </c>
    </row>
    <row r="182" spans="1:6" x14ac:dyDescent="0.2">
      <c r="A182" s="186" t="s">
        <v>617</v>
      </c>
      <c r="B182" s="186" t="s">
        <v>618</v>
      </c>
      <c r="E182" s="178">
        <v>1429</v>
      </c>
      <c r="F182" s="178">
        <v>-1429</v>
      </c>
    </row>
    <row r="183" spans="1:6" x14ac:dyDescent="0.2">
      <c r="C183" s="197" t="s">
        <v>465</v>
      </c>
      <c r="D183" s="197" t="s">
        <v>465</v>
      </c>
      <c r="E183" s="197" t="s">
        <v>465</v>
      </c>
      <c r="F183" s="197" t="s">
        <v>465</v>
      </c>
    </row>
    <row r="184" spans="1:6" x14ac:dyDescent="0.2">
      <c r="A184" s="183"/>
      <c r="B184" s="184" t="s">
        <v>619</v>
      </c>
      <c r="C184" s="185"/>
      <c r="D184" s="185">
        <v>24207.58</v>
      </c>
      <c r="E184" s="185">
        <v>31686.87</v>
      </c>
      <c r="F184" s="185">
        <v>-7479.29</v>
      </c>
    </row>
    <row r="186" spans="1:6" x14ac:dyDescent="0.2">
      <c r="A186" s="194"/>
      <c r="B186" s="195" t="s">
        <v>620</v>
      </c>
      <c r="C186" s="196"/>
      <c r="D186" s="196">
        <v>65556.58</v>
      </c>
      <c r="E186" s="196">
        <v>131019</v>
      </c>
      <c r="F186" s="196">
        <v>-65462.42</v>
      </c>
    </row>
    <row r="188" spans="1:6" x14ac:dyDescent="0.2">
      <c r="A188" s="194"/>
      <c r="B188" s="195" t="s">
        <v>621</v>
      </c>
      <c r="C188" s="196"/>
      <c r="D188" s="196"/>
      <c r="E188" s="196"/>
      <c r="F188" s="196"/>
    </row>
    <row r="189" spans="1:6" x14ac:dyDescent="0.2">
      <c r="A189" s="183"/>
      <c r="B189" s="184" t="s">
        <v>622</v>
      </c>
      <c r="C189" s="185"/>
      <c r="D189" s="185"/>
      <c r="E189" s="185"/>
      <c r="F189" s="185"/>
    </row>
    <row r="190" spans="1:6" x14ac:dyDescent="0.2">
      <c r="A190" s="186" t="s">
        <v>623</v>
      </c>
      <c r="B190" s="186" t="s">
        <v>624</v>
      </c>
      <c r="D190" s="178">
        <v>101.16</v>
      </c>
      <c r="F190" s="178">
        <v>101.16</v>
      </c>
    </row>
    <row r="191" spans="1:6" x14ac:dyDescent="0.2">
      <c r="A191" s="186" t="s">
        <v>625</v>
      </c>
      <c r="B191" s="186" t="s">
        <v>626</v>
      </c>
      <c r="D191" s="178">
        <v>4826.9799999999996</v>
      </c>
      <c r="F191" s="178">
        <v>4826.9799999999996</v>
      </c>
    </row>
    <row r="192" spans="1:6" x14ac:dyDescent="0.2">
      <c r="A192" s="186" t="s">
        <v>627</v>
      </c>
      <c r="B192" s="186" t="s">
        <v>628</v>
      </c>
      <c r="D192" s="178">
        <v>1810.26</v>
      </c>
      <c r="F192" s="178">
        <v>1810.26</v>
      </c>
    </row>
    <row r="193" spans="1:6" x14ac:dyDescent="0.2">
      <c r="A193" s="186" t="s">
        <v>629</v>
      </c>
      <c r="B193" s="186" t="s">
        <v>630</v>
      </c>
      <c r="D193" s="178">
        <v>500.12</v>
      </c>
      <c r="E193" s="178">
        <v>73.64</v>
      </c>
      <c r="F193" s="178">
        <v>426.48</v>
      </c>
    </row>
    <row r="194" spans="1:6" x14ac:dyDescent="0.2">
      <c r="C194" s="197" t="s">
        <v>465</v>
      </c>
      <c r="D194" s="197" t="s">
        <v>465</v>
      </c>
      <c r="E194" s="197" t="s">
        <v>465</v>
      </c>
      <c r="F194" s="197" t="s">
        <v>465</v>
      </c>
    </row>
    <row r="195" spans="1:6" x14ac:dyDescent="0.2">
      <c r="A195" s="183"/>
      <c r="B195" s="184" t="s">
        <v>631</v>
      </c>
      <c r="C195" s="185"/>
      <c r="D195" s="185">
        <v>7238.52</v>
      </c>
      <c r="E195" s="185">
        <v>73.64</v>
      </c>
      <c r="F195" s="185">
        <v>7164.88</v>
      </c>
    </row>
    <row r="197" spans="1:6" x14ac:dyDescent="0.2">
      <c r="A197" s="183"/>
      <c r="B197" s="184" t="s">
        <v>632</v>
      </c>
      <c r="C197" s="185"/>
      <c r="D197" s="185"/>
      <c r="E197" s="185"/>
      <c r="F197" s="185"/>
    </row>
    <row r="198" spans="1:6" x14ac:dyDescent="0.2">
      <c r="A198" s="186" t="s">
        <v>633</v>
      </c>
      <c r="B198" s="186" t="s">
        <v>634</v>
      </c>
      <c r="D198" s="178">
        <v>3185.21</v>
      </c>
      <c r="F198" s="178">
        <v>3185.21</v>
      </c>
    </row>
    <row r="199" spans="1:6" x14ac:dyDescent="0.2">
      <c r="C199" s="197" t="s">
        <v>465</v>
      </c>
      <c r="D199" s="197" t="s">
        <v>465</v>
      </c>
      <c r="E199" s="197" t="s">
        <v>465</v>
      </c>
      <c r="F199" s="197" t="s">
        <v>465</v>
      </c>
    </row>
    <row r="200" spans="1:6" x14ac:dyDescent="0.2">
      <c r="A200" s="183"/>
      <c r="B200" s="184" t="s">
        <v>635</v>
      </c>
      <c r="C200" s="185"/>
      <c r="D200" s="185">
        <v>3185.21</v>
      </c>
      <c r="E200" s="185"/>
      <c r="F200" s="185">
        <v>3185.21</v>
      </c>
    </row>
    <row r="202" spans="1:6" x14ac:dyDescent="0.2">
      <c r="A202" s="194"/>
      <c r="B202" s="195" t="s">
        <v>636</v>
      </c>
      <c r="C202" s="196"/>
      <c r="D202" s="196">
        <v>10423.73</v>
      </c>
      <c r="E202" s="196">
        <v>73.64</v>
      </c>
      <c r="F202" s="196">
        <v>10350.09</v>
      </c>
    </row>
    <row r="203" spans="1:6" x14ac:dyDescent="0.2">
      <c r="A203" s="200"/>
      <c r="B203" s="198" t="s">
        <v>441</v>
      </c>
      <c r="C203" s="199"/>
      <c r="D203" s="199">
        <v>75980.31</v>
      </c>
      <c r="E203" s="199">
        <v>131092.64000000001</v>
      </c>
      <c r="F203" s="199">
        <v>-55112.33</v>
      </c>
    </row>
    <row r="205" spans="1:6" x14ac:dyDescent="0.2">
      <c r="A205" s="194"/>
      <c r="B205" s="195" t="s">
        <v>637</v>
      </c>
      <c r="C205" s="196"/>
      <c r="D205" s="196"/>
      <c r="E205" s="196"/>
      <c r="F205" s="196"/>
    </row>
    <row r="206" spans="1:6" x14ac:dyDescent="0.2">
      <c r="A206" s="186" t="s">
        <v>638</v>
      </c>
      <c r="B206" s="186" t="s">
        <v>639</v>
      </c>
      <c r="D206" s="178">
        <v>7511.05</v>
      </c>
      <c r="E206" s="178">
        <v>2106.1799999999998</v>
      </c>
      <c r="F206" s="178">
        <v>5404.87</v>
      </c>
    </row>
    <row r="207" spans="1:6" x14ac:dyDescent="0.2">
      <c r="A207" s="186" t="s">
        <v>640</v>
      </c>
      <c r="B207" s="186" t="s">
        <v>641</v>
      </c>
      <c r="D207" s="178">
        <v>16073.15</v>
      </c>
      <c r="E207" s="178">
        <v>5171.7700000000004</v>
      </c>
      <c r="F207" s="178">
        <v>10901.38</v>
      </c>
    </row>
    <row r="208" spans="1:6" x14ac:dyDescent="0.2">
      <c r="A208" s="186" t="s">
        <v>642</v>
      </c>
      <c r="B208" s="186" t="s">
        <v>643</v>
      </c>
      <c r="D208" s="178">
        <v>282.32</v>
      </c>
      <c r="E208" s="178">
        <v>92.32</v>
      </c>
      <c r="F208" s="178">
        <v>190</v>
      </c>
    </row>
    <row r="209" spans="1:6" x14ac:dyDescent="0.2">
      <c r="A209" s="186" t="s">
        <v>644</v>
      </c>
      <c r="B209" s="186" t="s">
        <v>645</v>
      </c>
      <c r="D209" s="178">
        <v>127.5</v>
      </c>
      <c r="F209" s="178">
        <v>127.5</v>
      </c>
    </row>
    <row r="210" spans="1:6" x14ac:dyDescent="0.2">
      <c r="A210" s="186" t="s">
        <v>646</v>
      </c>
      <c r="B210" s="186" t="s">
        <v>647</v>
      </c>
      <c r="D210" s="178">
        <v>4055.29</v>
      </c>
      <c r="E210" s="178">
        <v>3512.08</v>
      </c>
      <c r="F210" s="178">
        <v>543.21</v>
      </c>
    </row>
    <row r="211" spans="1:6" x14ac:dyDescent="0.2">
      <c r="A211" s="186" t="s">
        <v>648</v>
      </c>
      <c r="B211" s="186" t="s">
        <v>649</v>
      </c>
      <c r="D211" s="178">
        <v>232.83</v>
      </c>
      <c r="E211" s="178">
        <v>184.99</v>
      </c>
      <c r="F211" s="178">
        <v>47.84</v>
      </c>
    </row>
    <row r="212" spans="1:6" x14ac:dyDescent="0.2">
      <c r="A212" s="186" t="s">
        <v>650</v>
      </c>
      <c r="B212" s="186" t="s">
        <v>651</v>
      </c>
      <c r="D212" s="178">
        <v>444.18</v>
      </c>
      <c r="E212" s="178">
        <v>175.05</v>
      </c>
      <c r="F212" s="178">
        <v>269.13</v>
      </c>
    </row>
    <row r="213" spans="1:6" x14ac:dyDescent="0.2">
      <c r="A213" s="186" t="s">
        <v>652</v>
      </c>
      <c r="B213" s="186" t="s">
        <v>653</v>
      </c>
      <c r="D213" s="178">
        <v>849.76</v>
      </c>
      <c r="E213" s="178">
        <v>407.71</v>
      </c>
      <c r="F213" s="178">
        <v>442.05</v>
      </c>
    </row>
    <row r="214" spans="1:6" x14ac:dyDescent="0.2">
      <c r="A214" s="186" t="s">
        <v>654</v>
      </c>
      <c r="B214" s="186" t="s">
        <v>655</v>
      </c>
      <c r="D214" s="178">
        <v>89.02</v>
      </c>
      <c r="E214" s="178">
        <v>35.630000000000003</v>
      </c>
      <c r="F214" s="178">
        <v>53.39</v>
      </c>
    </row>
    <row r="215" spans="1:6" x14ac:dyDescent="0.2">
      <c r="C215" s="197" t="s">
        <v>465</v>
      </c>
      <c r="D215" s="197" t="s">
        <v>465</v>
      </c>
      <c r="E215" s="197" t="s">
        <v>465</v>
      </c>
      <c r="F215" s="197" t="s">
        <v>465</v>
      </c>
    </row>
    <row r="216" spans="1:6" x14ac:dyDescent="0.2">
      <c r="A216" s="194"/>
      <c r="B216" s="195" t="s">
        <v>656</v>
      </c>
      <c r="C216" s="196"/>
      <c r="D216" s="196">
        <v>29665.1</v>
      </c>
      <c r="E216" s="196">
        <v>11685.73</v>
      </c>
      <c r="F216" s="196">
        <v>17979.37</v>
      </c>
    </row>
    <row r="218" spans="1:6" x14ac:dyDescent="0.2">
      <c r="A218" s="194"/>
      <c r="B218" s="195" t="s">
        <v>657</v>
      </c>
      <c r="C218" s="196"/>
      <c r="D218" s="196"/>
      <c r="E218" s="196"/>
      <c r="F218" s="196"/>
    </row>
    <row r="219" spans="1:6" x14ac:dyDescent="0.2">
      <c r="A219" s="186" t="s">
        <v>658</v>
      </c>
      <c r="B219" s="186" t="s">
        <v>659</v>
      </c>
      <c r="D219" s="178">
        <v>861.65</v>
      </c>
      <c r="E219" s="178">
        <v>292.42</v>
      </c>
      <c r="F219" s="178">
        <v>569.23</v>
      </c>
    </row>
    <row r="220" spans="1:6" x14ac:dyDescent="0.2">
      <c r="A220" s="186" t="s">
        <v>660</v>
      </c>
      <c r="B220" s="186" t="s">
        <v>661</v>
      </c>
      <c r="D220" s="178">
        <v>1012.96</v>
      </c>
      <c r="E220" s="178">
        <v>291.22000000000003</v>
      </c>
      <c r="F220" s="178">
        <v>721.74</v>
      </c>
    </row>
    <row r="221" spans="1:6" x14ac:dyDescent="0.2">
      <c r="A221" s="186" t="s">
        <v>662</v>
      </c>
      <c r="B221" s="186" t="s">
        <v>663</v>
      </c>
      <c r="D221" s="178">
        <v>295.95999999999998</v>
      </c>
      <c r="E221" s="178">
        <v>76.42</v>
      </c>
      <c r="F221" s="178">
        <v>219.54</v>
      </c>
    </row>
    <row r="222" spans="1:6" x14ac:dyDescent="0.2">
      <c r="A222" s="186" t="s">
        <v>664</v>
      </c>
      <c r="B222" s="186" t="s">
        <v>665</v>
      </c>
      <c r="D222" s="178">
        <v>329.27</v>
      </c>
      <c r="E222" s="178">
        <v>99.69</v>
      </c>
      <c r="F222" s="178">
        <v>229.58</v>
      </c>
    </row>
    <row r="223" spans="1:6" x14ac:dyDescent="0.2">
      <c r="A223" s="186" t="s">
        <v>666</v>
      </c>
      <c r="B223" s="186" t="s">
        <v>667</v>
      </c>
      <c r="D223" s="178">
        <v>199.78</v>
      </c>
      <c r="E223" s="178">
        <v>61.71</v>
      </c>
      <c r="F223" s="178">
        <v>138.07</v>
      </c>
    </row>
    <row r="224" spans="1:6" x14ac:dyDescent="0.2">
      <c r="A224" s="186" t="s">
        <v>668</v>
      </c>
      <c r="B224" s="186" t="s">
        <v>669</v>
      </c>
      <c r="D224" s="178">
        <v>63.67</v>
      </c>
      <c r="E224" s="178">
        <v>17.559999999999999</v>
      </c>
      <c r="F224" s="178">
        <v>46.11</v>
      </c>
    </row>
    <row r="225" spans="1:6" x14ac:dyDescent="0.2">
      <c r="A225" s="186" t="s">
        <v>670</v>
      </c>
      <c r="B225" s="186" t="s">
        <v>671</v>
      </c>
      <c r="D225" s="178">
        <v>115.66</v>
      </c>
      <c r="E225" s="178">
        <v>37.93</v>
      </c>
      <c r="F225" s="178">
        <v>77.73</v>
      </c>
    </row>
    <row r="226" spans="1:6" x14ac:dyDescent="0.2">
      <c r="A226" s="186" t="s">
        <v>672</v>
      </c>
      <c r="B226" s="186" t="s">
        <v>673</v>
      </c>
      <c r="D226" s="178">
        <v>216.55</v>
      </c>
      <c r="E226" s="178">
        <v>77.02</v>
      </c>
      <c r="F226" s="178">
        <v>139.53</v>
      </c>
    </row>
    <row r="227" spans="1:6" x14ac:dyDescent="0.2">
      <c r="C227" s="197" t="s">
        <v>465</v>
      </c>
      <c r="D227" s="197" t="s">
        <v>465</v>
      </c>
      <c r="E227" s="197" t="s">
        <v>465</v>
      </c>
      <c r="F227" s="197" t="s">
        <v>465</v>
      </c>
    </row>
    <row r="228" spans="1:6" x14ac:dyDescent="0.2">
      <c r="A228" s="194"/>
      <c r="B228" s="195" t="s">
        <v>674</v>
      </c>
      <c r="C228" s="196"/>
      <c r="D228" s="196">
        <v>3095.5</v>
      </c>
      <c r="E228" s="196">
        <v>953.97</v>
      </c>
      <c r="F228" s="196">
        <v>2141.5300000000002</v>
      </c>
    </row>
    <row r="230" spans="1:6" x14ac:dyDescent="0.2">
      <c r="A230" s="194"/>
      <c r="B230" s="195" t="s">
        <v>675</v>
      </c>
      <c r="C230" s="196"/>
      <c r="D230" s="196"/>
      <c r="E230" s="196"/>
      <c r="F230" s="196"/>
    </row>
    <row r="231" spans="1:6" x14ac:dyDescent="0.2">
      <c r="A231" s="186" t="s">
        <v>676</v>
      </c>
      <c r="B231" s="186" t="s">
        <v>675</v>
      </c>
      <c r="D231" s="178">
        <v>82.66</v>
      </c>
      <c r="E231" s="178">
        <v>22.62</v>
      </c>
      <c r="F231" s="178">
        <v>60.04</v>
      </c>
    </row>
    <row r="232" spans="1:6" x14ac:dyDescent="0.2">
      <c r="A232" s="186" t="s">
        <v>677</v>
      </c>
      <c r="B232" s="186" t="s">
        <v>678</v>
      </c>
      <c r="D232" s="178">
        <v>148.38</v>
      </c>
      <c r="E232" s="178">
        <v>36.270000000000003</v>
      </c>
      <c r="F232" s="178">
        <v>112.11</v>
      </c>
    </row>
    <row r="233" spans="1:6" x14ac:dyDescent="0.2">
      <c r="A233" s="186" t="s">
        <v>679</v>
      </c>
      <c r="B233" s="186" t="s">
        <v>680</v>
      </c>
      <c r="D233" s="178">
        <v>224.45</v>
      </c>
      <c r="E233" s="178">
        <v>57.17</v>
      </c>
      <c r="F233" s="178">
        <v>167.28</v>
      </c>
    </row>
    <row r="234" spans="1:6" x14ac:dyDescent="0.2">
      <c r="A234" s="186" t="s">
        <v>681</v>
      </c>
      <c r="B234" s="186" t="s">
        <v>682</v>
      </c>
      <c r="D234" s="178">
        <v>50.15</v>
      </c>
      <c r="E234" s="178">
        <v>12.65</v>
      </c>
      <c r="F234" s="178">
        <v>37.5</v>
      </c>
    </row>
    <row r="235" spans="1:6" x14ac:dyDescent="0.2">
      <c r="A235" s="186" t="s">
        <v>683</v>
      </c>
      <c r="B235" s="186" t="s">
        <v>684</v>
      </c>
      <c r="D235" s="178">
        <v>164.66</v>
      </c>
      <c r="E235" s="178">
        <v>62.99</v>
      </c>
      <c r="F235" s="178">
        <v>101.67</v>
      </c>
    </row>
    <row r="236" spans="1:6" x14ac:dyDescent="0.2">
      <c r="C236" s="197" t="s">
        <v>465</v>
      </c>
      <c r="D236" s="197" t="s">
        <v>465</v>
      </c>
      <c r="E236" s="197" t="s">
        <v>465</v>
      </c>
      <c r="F236" s="197" t="s">
        <v>465</v>
      </c>
    </row>
    <row r="237" spans="1:6" x14ac:dyDescent="0.2">
      <c r="A237" s="194"/>
      <c r="B237" s="195" t="s">
        <v>685</v>
      </c>
      <c r="C237" s="196"/>
      <c r="D237" s="196">
        <v>670.3</v>
      </c>
      <c r="E237" s="196">
        <v>191.7</v>
      </c>
      <c r="F237" s="196">
        <v>478.6</v>
      </c>
    </row>
    <row r="239" spans="1:6" x14ac:dyDescent="0.2">
      <c r="A239" s="194"/>
      <c r="B239" s="195" t="s">
        <v>686</v>
      </c>
      <c r="C239" s="196"/>
      <c r="D239" s="196"/>
      <c r="E239" s="196"/>
      <c r="F239" s="196"/>
    </row>
    <row r="240" spans="1:6" x14ac:dyDescent="0.2">
      <c r="A240" s="186" t="s">
        <v>687</v>
      </c>
      <c r="B240" s="186" t="s">
        <v>688</v>
      </c>
      <c r="D240" s="178">
        <v>441.64</v>
      </c>
      <c r="E240" s="178">
        <v>123.84</v>
      </c>
      <c r="F240" s="178">
        <v>317.8</v>
      </c>
    </row>
    <row r="241" spans="1:6" x14ac:dyDescent="0.2">
      <c r="A241" s="186" t="s">
        <v>689</v>
      </c>
      <c r="B241" s="186" t="s">
        <v>690</v>
      </c>
      <c r="D241" s="178">
        <v>102.34</v>
      </c>
      <c r="E241" s="178">
        <v>21.25</v>
      </c>
      <c r="F241" s="178">
        <v>81.09</v>
      </c>
    </row>
    <row r="242" spans="1:6" x14ac:dyDescent="0.2">
      <c r="A242" s="186" t="s">
        <v>691</v>
      </c>
      <c r="B242" s="186" t="s">
        <v>692</v>
      </c>
      <c r="D242" s="178">
        <v>2512.77</v>
      </c>
      <c r="E242" s="178">
        <v>875.9</v>
      </c>
      <c r="F242" s="178">
        <v>1636.87</v>
      </c>
    </row>
    <row r="243" spans="1:6" x14ac:dyDescent="0.2">
      <c r="A243" s="186" t="s">
        <v>693</v>
      </c>
      <c r="B243" s="186" t="s">
        <v>694</v>
      </c>
      <c r="D243" s="178">
        <v>256.58999999999997</v>
      </c>
      <c r="E243" s="178">
        <v>776.36</v>
      </c>
      <c r="F243" s="178">
        <v>-519.77</v>
      </c>
    </row>
    <row r="244" spans="1:6" x14ac:dyDescent="0.2">
      <c r="A244" s="186" t="s">
        <v>695</v>
      </c>
      <c r="B244" s="186" t="s">
        <v>696</v>
      </c>
      <c r="D244" s="178">
        <v>394.12</v>
      </c>
      <c r="E244" s="178">
        <v>129.43</v>
      </c>
      <c r="F244" s="178">
        <v>264.69</v>
      </c>
    </row>
    <row r="245" spans="1:6" x14ac:dyDescent="0.2">
      <c r="A245" s="186" t="s">
        <v>697</v>
      </c>
      <c r="B245" s="186" t="s">
        <v>698</v>
      </c>
      <c r="D245" s="178">
        <v>77.87</v>
      </c>
      <c r="E245" s="178">
        <v>24.21</v>
      </c>
      <c r="F245" s="178">
        <v>53.66</v>
      </c>
    </row>
    <row r="246" spans="1:6" x14ac:dyDescent="0.2">
      <c r="C246" s="197" t="s">
        <v>465</v>
      </c>
      <c r="D246" s="197" t="s">
        <v>465</v>
      </c>
      <c r="E246" s="197" t="s">
        <v>465</v>
      </c>
      <c r="F246" s="197" t="s">
        <v>465</v>
      </c>
    </row>
    <row r="247" spans="1:6" x14ac:dyDescent="0.2">
      <c r="A247" s="194"/>
      <c r="B247" s="195" t="s">
        <v>699</v>
      </c>
      <c r="C247" s="196"/>
      <c r="D247" s="196">
        <v>3785.33</v>
      </c>
      <c r="E247" s="196">
        <v>1950.99</v>
      </c>
      <c r="F247" s="196">
        <v>1834.34</v>
      </c>
    </row>
    <row r="249" spans="1:6" x14ac:dyDescent="0.2">
      <c r="A249" s="194"/>
      <c r="B249" s="195" t="s">
        <v>700</v>
      </c>
      <c r="C249" s="196"/>
      <c r="D249" s="196"/>
      <c r="E249" s="196"/>
      <c r="F249" s="196"/>
    </row>
    <row r="250" spans="1:6" x14ac:dyDescent="0.2">
      <c r="A250" s="186" t="s">
        <v>701</v>
      </c>
      <c r="B250" s="186" t="s">
        <v>700</v>
      </c>
      <c r="D250" s="178">
        <v>537.71</v>
      </c>
      <c r="E250" s="178">
        <v>189.78</v>
      </c>
      <c r="F250" s="178">
        <v>347.93</v>
      </c>
    </row>
    <row r="251" spans="1:6" x14ac:dyDescent="0.2">
      <c r="A251" s="186" t="s">
        <v>702</v>
      </c>
      <c r="B251" s="186" t="s">
        <v>703</v>
      </c>
      <c r="D251" s="178">
        <v>443.52</v>
      </c>
      <c r="E251" s="178">
        <v>276.44</v>
      </c>
      <c r="F251" s="178">
        <v>167.08</v>
      </c>
    </row>
    <row r="252" spans="1:6" x14ac:dyDescent="0.2">
      <c r="A252" s="186" t="s">
        <v>704</v>
      </c>
      <c r="B252" s="186" t="s">
        <v>705</v>
      </c>
      <c r="D252" s="178">
        <v>1192.28</v>
      </c>
      <c r="E252" s="178">
        <v>520.54</v>
      </c>
      <c r="F252" s="178">
        <v>671.74</v>
      </c>
    </row>
    <row r="253" spans="1:6" x14ac:dyDescent="0.2">
      <c r="A253" s="186" t="s">
        <v>706</v>
      </c>
      <c r="B253" s="186" t="s">
        <v>707</v>
      </c>
      <c r="D253" s="178">
        <v>53.56</v>
      </c>
      <c r="E253" s="178">
        <v>26.54</v>
      </c>
      <c r="F253" s="178">
        <v>27.02</v>
      </c>
    </row>
    <row r="254" spans="1:6" x14ac:dyDescent="0.2">
      <c r="A254" s="186" t="s">
        <v>708</v>
      </c>
      <c r="B254" s="186" t="s">
        <v>709</v>
      </c>
      <c r="D254" s="178">
        <v>3.3</v>
      </c>
      <c r="F254" s="178">
        <v>3.3</v>
      </c>
    </row>
    <row r="255" spans="1:6" x14ac:dyDescent="0.2">
      <c r="A255" s="186" t="s">
        <v>710</v>
      </c>
      <c r="B255" s="186" t="s">
        <v>700</v>
      </c>
      <c r="D255" s="178">
        <v>19.03</v>
      </c>
      <c r="F255" s="178">
        <v>19.03</v>
      </c>
    </row>
    <row r="256" spans="1:6" x14ac:dyDescent="0.2">
      <c r="C256" s="197" t="s">
        <v>465</v>
      </c>
      <c r="D256" s="197" t="s">
        <v>465</v>
      </c>
      <c r="E256" s="197" t="s">
        <v>465</v>
      </c>
      <c r="F256" s="197" t="s">
        <v>465</v>
      </c>
    </row>
    <row r="257" spans="1:6" x14ac:dyDescent="0.2">
      <c r="A257" s="194"/>
      <c r="B257" s="195" t="s">
        <v>711</v>
      </c>
      <c r="C257" s="196"/>
      <c r="D257" s="196">
        <v>2249.4</v>
      </c>
      <c r="E257" s="196">
        <v>1013.3</v>
      </c>
      <c r="F257" s="196">
        <v>1236.0999999999999</v>
      </c>
    </row>
    <row r="259" spans="1:6" x14ac:dyDescent="0.2">
      <c r="A259" s="194"/>
      <c r="B259" s="195" t="s">
        <v>712</v>
      </c>
      <c r="C259" s="196"/>
      <c r="D259" s="196"/>
      <c r="E259" s="196"/>
      <c r="F259" s="196"/>
    </row>
    <row r="260" spans="1:6" x14ac:dyDescent="0.2">
      <c r="A260" s="186" t="s">
        <v>713</v>
      </c>
      <c r="B260" s="186" t="s">
        <v>714</v>
      </c>
      <c r="D260" s="178">
        <v>78.56</v>
      </c>
      <c r="E260" s="178">
        <v>18.350000000000001</v>
      </c>
      <c r="F260" s="178">
        <v>60.21</v>
      </c>
    </row>
    <row r="261" spans="1:6" x14ac:dyDescent="0.2">
      <c r="C261" s="197" t="s">
        <v>465</v>
      </c>
      <c r="D261" s="197" t="s">
        <v>465</v>
      </c>
      <c r="E261" s="197" t="s">
        <v>465</v>
      </c>
      <c r="F261" s="197" t="s">
        <v>465</v>
      </c>
    </row>
    <row r="262" spans="1:6" x14ac:dyDescent="0.2">
      <c r="A262" s="194"/>
      <c r="B262" s="195" t="s">
        <v>715</v>
      </c>
      <c r="C262" s="196"/>
      <c r="D262" s="196">
        <v>78.56</v>
      </c>
      <c r="E262" s="196">
        <v>18.350000000000001</v>
      </c>
      <c r="F262" s="196">
        <v>60.21</v>
      </c>
    </row>
    <row r="264" spans="1:6" x14ac:dyDescent="0.2">
      <c r="A264" s="194"/>
      <c r="B264" s="195" t="s">
        <v>716</v>
      </c>
      <c r="C264" s="196"/>
      <c r="D264" s="196"/>
      <c r="E264" s="196"/>
      <c r="F264" s="196"/>
    </row>
    <row r="265" spans="1:6" x14ac:dyDescent="0.2">
      <c r="A265" s="186" t="s">
        <v>717</v>
      </c>
      <c r="B265" s="186" t="s">
        <v>718</v>
      </c>
      <c r="D265" s="178">
        <v>5.89</v>
      </c>
      <c r="E265" s="178">
        <v>2.0099999999999998</v>
      </c>
      <c r="F265" s="178">
        <v>3.88</v>
      </c>
    </row>
    <row r="266" spans="1:6" x14ac:dyDescent="0.2">
      <c r="A266" s="186" t="s">
        <v>719</v>
      </c>
      <c r="B266" s="186" t="s">
        <v>720</v>
      </c>
      <c r="D266" s="178">
        <v>48.34</v>
      </c>
      <c r="E266" s="178">
        <v>5.5</v>
      </c>
      <c r="F266" s="178">
        <v>42.84</v>
      </c>
    </row>
    <row r="267" spans="1:6" x14ac:dyDescent="0.2">
      <c r="A267" s="186" t="s">
        <v>721</v>
      </c>
      <c r="B267" s="186" t="s">
        <v>722</v>
      </c>
      <c r="D267" s="178">
        <v>12.23</v>
      </c>
      <c r="E267" s="178">
        <v>5.3</v>
      </c>
      <c r="F267" s="178">
        <v>6.93</v>
      </c>
    </row>
    <row r="268" spans="1:6" x14ac:dyDescent="0.2">
      <c r="C268" s="197" t="s">
        <v>465</v>
      </c>
      <c r="D268" s="197" t="s">
        <v>465</v>
      </c>
      <c r="E268" s="197" t="s">
        <v>465</v>
      </c>
      <c r="F268" s="197" t="s">
        <v>465</v>
      </c>
    </row>
    <row r="269" spans="1:6" x14ac:dyDescent="0.2">
      <c r="A269" s="194"/>
      <c r="B269" s="195" t="s">
        <v>723</v>
      </c>
      <c r="C269" s="196"/>
      <c r="D269" s="196">
        <v>66.459999999999994</v>
      </c>
      <c r="E269" s="196">
        <v>12.81</v>
      </c>
      <c r="F269" s="196">
        <v>53.65</v>
      </c>
    </row>
    <row r="271" spans="1:6" x14ac:dyDescent="0.2">
      <c r="A271" s="194"/>
      <c r="B271" s="195" t="s">
        <v>724</v>
      </c>
      <c r="C271" s="196"/>
      <c r="D271" s="196"/>
      <c r="E271" s="196"/>
      <c r="F271" s="196"/>
    </row>
    <row r="272" spans="1:6" x14ac:dyDescent="0.2">
      <c r="A272" s="186" t="s">
        <v>725</v>
      </c>
      <c r="B272" s="186" t="s">
        <v>726</v>
      </c>
      <c r="D272" s="178">
        <v>64.78</v>
      </c>
      <c r="E272" s="178">
        <v>18.12</v>
      </c>
      <c r="F272" s="178">
        <v>46.66</v>
      </c>
    </row>
    <row r="273" spans="1:6" x14ac:dyDescent="0.2">
      <c r="A273" s="186" t="s">
        <v>727</v>
      </c>
      <c r="B273" s="186" t="s">
        <v>728</v>
      </c>
      <c r="D273" s="178">
        <v>64.430000000000007</v>
      </c>
      <c r="E273" s="178">
        <v>10.75</v>
      </c>
      <c r="F273" s="178">
        <v>53.68</v>
      </c>
    </row>
    <row r="274" spans="1:6" x14ac:dyDescent="0.2">
      <c r="A274" s="186" t="s">
        <v>729</v>
      </c>
      <c r="B274" s="186" t="s">
        <v>730</v>
      </c>
      <c r="D274" s="178">
        <v>5155.0200000000004</v>
      </c>
      <c r="E274" s="178">
        <v>57.45</v>
      </c>
      <c r="F274" s="178">
        <v>5097.57</v>
      </c>
    </row>
    <row r="275" spans="1:6" x14ac:dyDescent="0.2">
      <c r="C275" s="197" t="s">
        <v>465</v>
      </c>
      <c r="D275" s="197" t="s">
        <v>465</v>
      </c>
      <c r="E275" s="197" t="s">
        <v>465</v>
      </c>
      <c r="F275" s="197" t="s">
        <v>465</v>
      </c>
    </row>
    <row r="276" spans="1:6" x14ac:dyDescent="0.2">
      <c r="A276" s="194"/>
      <c r="B276" s="195" t="s">
        <v>731</v>
      </c>
      <c r="C276" s="196"/>
      <c r="D276" s="196">
        <v>5284.23</v>
      </c>
      <c r="E276" s="196">
        <v>86.32</v>
      </c>
      <c r="F276" s="196">
        <v>5197.91</v>
      </c>
    </row>
    <row r="278" spans="1:6" x14ac:dyDescent="0.2">
      <c r="A278" s="194"/>
      <c r="B278" s="195" t="s">
        <v>732</v>
      </c>
      <c r="C278" s="196"/>
      <c r="D278" s="196"/>
      <c r="E278" s="196"/>
      <c r="F278" s="196"/>
    </row>
    <row r="279" spans="1:6" x14ac:dyDescent="0.2">
      <c r="A279" s="186" t="s">
        <v>733</v>
      </c>
      <c r="B279" s="186" t="s">
        <v>734</v>
      </c>
      <c r="D279" s="178">
        <v>33.32</v>
      </c>
      <c r="F279" s="178">
        <v>33.32</v>
      </c>
    </row>
    <row r="280" spans="1:6" x14ac:dyDescent="0.2">
      <c r="A280" s="186" t="s">
        <v>735</v>
      </c>
      <c r="B280" s="186" t="s">
        <v>170</v>
      </c>
      <c r="D280" s="178">
        <v>1104</v>
      </c>
      <c r="E280" s="178">
        <v>8</v>
      </c>
      <c r="F280" s="178">
        <v>1096</v>
      </c>
    </row>
    <row r="281" spans="1:6" x14ac:dyDescent="0.2">
      <c r="A281" s="186" t="s">
        <v>736</v>
      </c>
      <c r="B281" s="186" t="s">
        <v>737</v>
      </c>
      <c r="D281" s="178">
        <v>1030.05</v>
      </c>
      <c r="E281" s="178">
        <v>477</v>
      </c>
      <c r="F281" s="178">
        <v>553.04999999999995</v>
      </c>
    </row>
    <row r="282" spans="1:6" x14ac:dyDescent="0.2">
      <c r="C282" s="197" t="s">
        <v>465</v>
      </c>
      <c r="D282" s="197" t="s">
        <v>465</v>
      </c>
      <c r="E282" s="197" t="s">
        <v>465</v>
      </c>
      <c r="F282" s="197" t="s">
        <v>465</v>
      </c>
    </row>
    <row r="283" spans="1:6" x14ac:dyDescent="0.2">
      <c r="A283" s="194"/>
      <c r="B283" s="195" t="s">
        <v>738</v>
      </c>
      <c r="C283" s="196"/>
      <c r="D283" s="196">
        <v>2167.37</v>
      </c>
      <c r="E283" s="196">
        <v>485</v>
      </c>
      <c r="F283" s="196">
        <v>1682.37</v>
      </c>
    </row>
    <row r="285" spans="1:6" x14ac:dyDescent="0.2">
      <c r="A285" s="194"/>
      <c r="B285" s="195" t="s">
        <v>739</v>
      </c>
      <c r="C285" s="196"/>
      <c r="D285" s="196"/>
      <c r="E285" s="196"/>
      <c r="F285" s="196"/>
    </row>
    <row r="286" spans="1:6" x14ac:dyDescent="0.2">
      <c r="A286" s="186" t="s">
        <v>740</v>
      </c>
      <c r="B286" s="186" t="s">
        <v>741</v>
      </c>
      <c r="D286" s="178">
        <v>1280.74</v>
      </c>
      <c r="E286" s="178">
        <v>253.51</v>
      </c>
      <c r="F286" s="178">
        <v>1027.23</v>
      </c>
    </row>
    <row r="287" spans="1:6" x14ac:dyDescent="0.2">
      <c r="A287" s="186" t="s">
        <v>742</v>
      </c>
      <c r="B287" s="186" t="s">
        <v>743</v>
      </c>
      <c r="D287" s="178">
        <v>231</v>
      </c>
      <c r="F287" s="178">
        <v>231</v>
      </c>
    </row>
    <row r="288" spans="1:6" x14ac:dyDescent="0.2">
      <c r="A288" s="186" t="s">
        <v>744</v>
      </c>
      <c r="B288" s="186" t="s">
        <v>745</v>
      </c>
      <c r="D288" s="178">
        <v>294</v>
      </c>
      <c r="F288" s="178">
        <v>294</v>
      </c>
    </row>
    <row r="289" spans="1:6" x14ac:dyDescent="0.2">
      <c r="A289" s="186" t="s">
        <v>746</v>
      </c>
      <c r="B289" s="186" t="s">
        <v>747</v>
      </c>
      <c r="D289" s="178">
        <v>232.2</v>
      </c>
      <c r="E289" s="178">
        <v>131.15</v>
      </c>
      <c r="F289" s="178">
        <v>101.05</v>
      </c>
    </row>
    <row r="290" spans="1:6" x14ac:dyDescent="0.2">
      <c r="A290" s="186" t="s">
        <v>748</v>
      </c>
      <c r="B290" s="186" t="s">
        <v>749</v>
      </c>
      <c r="D290" s="178">
        <v>2121.46</v>
      </c>
      <c r="E290" s="178">
        <v>853.63</v>
      </c>
      <c r="F290" s="178">
        <v>1267.83</v>
      </c>
    </row>
    <row r="291" spans="1:6" x14ac:dyDescent="0.2">
      <c r="A291" s="186" t="s">
        <v>750</v>
      </c>
      <c r="B291" s="186" t="s">
        <v>751</v>
      </c>
      <c r="D291" s="178">
        <v>50</v>
      </c>
      <c r="F291" s="178">
        <v>50</v>
      </c>
    </row>
    <row r="292" spans="1:6" x14ac:dyDescent="0.2">
      <c r="A292" s="186" t="s">
        <v>752</v>
      </c>
      <c r="B292" s="186" t="s">
        <v>753</v>
      </c>
      <c r="D292" s="178">
        <v>22547.96</v>
      </c>
      <c r="E292" s="178">
        <v>8056.26</v>
      </c>
      <c r="F292" s="178">
        <v>14491.7</v>
      </c>
    </row>
    <row r="293" spans="1:6" x14ac:dyDescent="0.2">
      <c r="C293" s="197" t="s">
        <v>465</v>
      </c>
      <c r="D293" s="197" t="s">
        <v>465</v>
      </c>
      <c r="E293" s="197" t="s">
        <v>465</v>
      </c>
      <c r="F293" s="197" t="s">
        <v>465</v>
      </c>
    </row>
    <row r="294" spans="1:6" x14ac:dyDescent="0.2">
      <c r="A294" s="194"/>
      <c r="B294" s="195" t="s">
        <v>739</v>
      </c>
      <c r="C294" s="196"/>
      <c r="D294" s="196">
        <v>26757.360000000001</v>
      </c>
      <c r="E294" s="196">
        <v>9294.5499999999993</v>
      </c>
      <c r="F294" s="196">
        <v>17462.810000000001</v>
      </c>
    </row>
    <row r="296" spans="1:6" x14ac:dyDescent="0.2">
      <c r="A296" s="194"/>
      <c r="B296" s="195" t="s">
        <v>754</v>
      </c>
      <c r="C296" s="196"/>
      <c r="D296" s="196"/>
      <c r="E296" s="196"/>
      <c r="F296" s="196"/>
    </row>
    <row r="297" spans="1:6" x14ac:dyDescent="0.2">
      <c r="A297" s="186" t="s">
        <v>755</v>
      </c>
      <c r="B297" s="186" t="s">
        <v>754</v>
      </c>
      <c r="D297" s="178">
        <v>110.77</v>
      </c>
      <c r="E297" s="178">
        <v>35.71</v>
      </c>
      <c r="F297" s="178">
        <v>75.06</v>
      </c>
    </row>
    <row r="298" spans="1:6" x14ac:dyDescent="0.2">
      <c r="A298" s="186" t="s">
        <v>756</v>
      </c>
      <c r="B298" s="186" t="s">
        <v>757</v>
      </c>
      <c r="D298" s="178">
        <v>348.98</v>
      </c>
      <c r="E298" s="178">
        <v>174.96</v>
      </c>
      <c r="F298" s="178">
        <v>174.02</v>
      </c>
    </row>
    <row r="299" spans="1:6" x14ac:dyDescent="0.2">
      <c r="A299" s="186" t="s">
        <v>758</v>
      </c>
      <c r="B299" s="186" t="s">
        <v>759</v>
      </c>
      <c r="D299" s="178">
        <v>161.43</v>
      </c>
      <c r="F299" s="178">
        <v>161.43</v>
      </c>
    </row>
    <row r="300" spans="1:6" x14ac:dyDescent="0.2">
      <c r="A300" s="186" t="s">
        <v>760</v>
      </c>
      <c r="B300" s="186" t="s">
        <v>761</v>
      </c>
      <c r="D300" s="178">
        <v>0.02</v>
      </c>
      <c r="E300" s="178">
        <v>0.03</v>
      </c>
      <c r="F300" s="178">
        <v>-0.01</v>
      </c>
    </row>
    <row r="301" spans="1:6" x14ac:dyDescent="0.2">
      <c r="C301" s="197" t="s">
        <v>465</v>
      </c>
      <c r="D301" s="197" t="s">
        <v>465</v>
      </c>
      <c r="E301" s="197" t="s">
        <v>465</v>
      </c>
      <c r="F301" s="197" t="s">
        <v>465</v>
      </c>
    </row>
    <row r="302" spans="1:6" x14ac:dyDescent="0.2">
      <c r="A302" s="194"/>
      <c r="B302" s="195" t="s">
        <v>762</v>
      </c>
      <c r="C302" s="196"/>
      <c r="D302" s="196">
        <v>621.20000000000005</v>
      </c>
      <c r="E302" s="196">
        <v>210.7</v>
      </c>
      <c r="F302" s="196">
        <v>410.5</v>
      </c>
    </row>
    <row r="304" spans="1:6" x14ac:dyDescent="0.2">
      <c r="A304" s="194"/>
      <c r="B304" s="195" t="s">
        <v>763</v>
      </c>
      <c r="C304" s="196"/>
      <c r="D304" s="196"/>
      <c r="E304" s="196"/>
      <c r="F304" s="196"/>
    </row>
    <row r="305" spans="1:6" x14ac:dyDescent="0.2">
      <c r="A305" s="186" t="s">
        <v>764</v>
      </c>
      <c r="B305" s="186" t="s">
        <v>765</v>
      </c>
      <c r="D305" s="178">
        <v>1053.0899999999999</v>
      </c>
      <c r="E305" s="178">
        <v>248.82</v>
      </c>
      <c r="F305" s="178">
        <v>804.27</v>
      </c>
    </row>
    <row r="306" spans="1:6" x14ac:dyDescent="0.2">
      <c r="C306" s="197" t="s">
        <v>465</v>
      </c>
      <c r="D306" s="197" t="s">
        <v>465</v>
      </c>
      <c r="E306" s="197" t="s">
        <v>465</v>
      </c>
      <c r="F306" s="197" t="s">
        <v>465</v>
      </c>
    </row>
    <row r="307" spans="1:6" x14ac:dyDescent="0.2">
      <c r="A307" s="194"/>
      <c r="B307" s="195" t="s">
        <v>766</v>
      </c>
      <c r="C307" s="196"/>
      <c r="D307" s="196">
        <v>1053.0899999999999</v>
      </c>
      <c r="E307" s="196">
        <v>248.82</v>
      </c>
      <c r="F307" s="196">
        <v>804.27</v>
      </c>
    </row>
    <row r="309" spans="1:6" x14ac:dyDescent="0.2">
      <c r="A309" s="194"/>
      <c r="B309" s="195" t="s">
        <v>767</v>
      </c>
      <c r="C309" s="196"/>
      <c r="D309" s="196"/>
      <c r="E309" s="196"/>
      <c r="F309" s="196"/>
    </row>
    <row r="310" spans="1:6" x14ac:dyDescent="0.2">
      <c r="A310" s="186" t="s">
        <v>768</v>
      </c>
      <c r="B310" s="186" t="s">
        <v>769</v>
      </c>
      <c r="D310" s="178">
        <v>17.66</v>
      </c>
      <c r="E310" s="178">
        <v>7.4</v>
      </c>
      <c r="F310" s="178">
        <v>10.26</v>
      </c>
    </row>
    <row r="311" spans="1:6" x14ac:dyDescent="0.2">
      <c r="A311" s="186" t="s">
        <v>770</v>
      </c>
      <c r="B311" s="186" t="s">
        <v>771</v>
      </c>
      <c r="D311" s="178">
        <v>77</v>
      </c>
      <c r="F311" s="178">
        <v>77</v>
      </c>
    </row>
    <row r="312" spans="1:6" x14ac:dyDescent="0.2">
      <c r="A312" s="186" t="s">
        <v>772</v>
      </c>
      <c r="B312" s="186" t="s">
        <v>773</v>
      </c>
      <c r="D312" s="178">
        <v>9</v>
      </c>
      <c r="F312" s="178">
        <v>9</v>
      </c>
    </row>
    <row r="313" spans="1:6" x14ac:dyDescent="0.2">
      <c r="A313" s="186" t="s">
        <v>774</v>
      </c>
      <c r="B313" s="186" t="s">
        <v>775</v>
      </c>
      <c r="D313" s="178">
        <v>228</v>
      </c>
      <c r="F313" s="178">
        <v>228</v>
      </c>
    </row>
    <row r="314" spans="1:6" x14ac:dyDescent="0.2">
      <c r="A314" s="186" t="s">
        <v>776</v>
      </c>
      <c r="B314" s="186" t="s">
        <v>777</v>
      </c>
      <c r="D314" s="178">
        <v>63</v>
      </c>
      <c r="F314" s="178">
        <v>63</v>
      </c>
    </row>
    <row r="315" spans="1:6" x14ac:dyDescent="0.2">
      <c r="A315" s="186" t="s">
        <v>778</v>
      </c>
      <c r="B315" s="186" t="s">
        <v>779</v>
      </c>
      <c r="D315" s="178">
        <v>15</v>
      </c>
      <c r="F315" s="178">
        <v>15</v>
      </c>
    </row>
    <row r="316" spans="1:6" x14ac:dyDescent="0.2">
      <c r="A316" s="186" t="s">
        <v>780</v>
      </c>
      <c r="B316" s="186" t="s">
        <v>781</v>
      </c>
      <c r="D316" s="178">
        <v>6</v>
      </c>
      <c r="F316" s="178">
        <v>6</v>
      </c>
    </row>
    <row r="317" spans="1:6" x14ac:dyDescent="0.2">
      <c r="A317" s="186" t="s">
        <v>782</v>
      </c>
      <c r="B317" s="186" t="s">
        <v>783</v>
      </c>
      <c r="D317" s="178">
        <v>9</v>
      </c>
      <c r="F317" s="178">
        <v>9</v>
      </c>
    </row>
    <row r="318" spans="1:6" x14ac:dyDescent="0.2">
      <c r="A318" s="186" t="s">
        <v>784</v>
      </c>
      <c r="B318" s="186" t="s">
        <v>785</v>
      </c>
      <c r="D318" s="178">
        <v>18</v>
      </c>
      <c r="F318" s="178">
        <v>18</v>
      </c>
    </row>
    <row r="319" spans="1:6" x14ac:dyDescent="0.2">
      <c r="C319" s="197" t="s">
        <v>465</v>
      </c>
      <c r="D319" s="197" t="s">
        <v>465</v>
      </c>
      <c r="E319" s="197" t="s">
        <v>465</v>
      </c>
      <c r="F319" s="197" t="s">
        <v>465</v>
      </c>
    </row>
    <row r="320" spans="1:6" x14ac:dyDescent="0.2">
      <c r="A320" s="194"/>
      <c r="B320" s="195" t="s">
        <v>786</v>
      </c>
      <c r="C320" s="196"/>
      <c r="D320" s="196">
        <v>442.66</v>
      </c>
      <c r="E320" s="196">
        <v>7.4</v>
      </c>
      <c r="F320" s="196">
        <v>435.26</v>
      </c>
    </row>
    <row r="322" spans="1:6" x14ac:dyDescent="0.2">
      <c r="A322" s="194"/>
      <c r="B322" s="195" t="s">
        <v>787</v>
      </c>
      <c r="C322" s="196"/>
      <c r="D322" s="196"/>
      <c r="E322" s="196"/>
      <c r="F322" s="196"/>
    </row>
    <row r="323" spans="1:6" x14ac:dyDescent="0.2">
      <c r="A323" s="186" t="s">
        <v>788</v>
      </c>
      <c r="B323" s="186" t="s">
        <v>789</v>
      </c>
      <c r="D323" s="178">
        <v>1.1000000000000001</v>
      </c>
      <c r="E323" s="178">
        <v>0.27</v>
      </c>
      <c r="F323" s="178">
        <v>0.83</v>
      </c>
    </row>
    <row r="324" spans="1:6" x14ac:dyDescent="0.2">
      <c r="A324" s="186" t="s">
        <v>790</v>
      </c>
      <c r="B324" s="186" t="s">
        <v>791</v>
      </c>
      <c r="D324" s="178">
        <v>3.01</v>
      </c>
      <c r="E324" s="178">
        <v>0.78</v>
      </c>
      <c r="F324" s="178">
        <v>2.23</v>
      </c>
    </row>
    <row r="325" spans="1:6" x14ac:dyDescent="0.2">
      <c r="A325" s="186" t="s">
        <v>792</v>
      </c>
      <c r="B325" s="186" t="s">
        <v>793</v>
      </c>
      <c r="D325" s="178">
        <v>3.27</v>
      </c>
      <c r="E325" s="178">
        <v>1.52</v>
      </c>
      <c r="F325" s="178">
        <v>1.75</v>
      </c>
    </row>
    <row r="326" spans="1:6" x14ac:dyDescent="0.2">
      <c r="A326" s="186" t="s">
        <v>794</v>
      </c>
      <c r="B326" s="186" t="s">
        <v>795</v>
      </c>
      <c r="D326" s="178">
        <v>8.02</v>
      </c>
      <c r="E326" s="178">
        <v>3.19</v>
      </c>
      <c r="F326" s="178">
        <v>4.83</v>
      </c>
    </row>
    <row r="327" spans="1:6" x14ac:dyDescent="0.2">
      <c r="C327" s="197" t="s">
        <v>465</v>
      </c>
      <c r="D327" s="197" t="s">
        <v>465</v>
      </c>
      <c r="E327" s="197" t="s">
        <v>465</v>
      </c>
      <c r="F327" s="197" t="s">
        <v>465</v>
      </c>
    </row>
    <row r="328" spans="1:6" x14ac:dyDescent="0.2">
      <c r="A328" s="194"/>
      <c r="B328" s="195" t="s">
        <v>796</v>
      </c>
      <c r="C328" s="196"/>
      <c r="D328" s="196">
        <v>15.4</v>
      </c>
      <c r="E328" s="196">
        <v>5.76</v>
      </c>
      <c r="F328" s="196">
        <v>9.64</v>
      </c>
    </row>
    <row r="330" spans="1:6" x14ac:dyDescent="0.2">
      <c r="A330" s="194"/>
      <c r="B330" s="195" t="s">
        <v>797</v>
      </c>
      <c r="C330" s="196"/>
      <c r="D330" s="196"/>
      <c r="E330" s="196"/>
      <c r="F330" s="196"/>
    </row>
    <row r="331" spans="1:6" x14ac:dyDescent="0.2">
      <c r="A331" s="186" t="s">
        <v>798</v>
      </c>
      <c r="B331" s="186" t="s">
        <v>799</v>
      </c>
      <c r="D331" s="178">
        <v>1712.15</v>
      </c>
      <c r="E331" s="178">
        <v>512.74</v>
      </c>
      <c r="F331" s="178">
        <v>1199.4100000000001</v>
      </c>
    </row>
    <row r="332" spans="1:6" x14ac:dyDescent="0.2">
      <c r="A332" s="186" t="s">
        <v>800</v>
      </c>
      <c r="B332" s="186" t="s">
        <v>801</v>
      </c>
      <c r="D332" s="178">
        <v>238.72</v>
      </c>
      <c r="E332" s="178">
        <v>59.68</v>
      </c>
      <c r="F332" s="178">
        <v>179.04</v>
      </c>
    </row>
    <row r="333" spans="1:6" x14ac:dyDescent="0.2">
      <c r="A333" s="186" t="s">
        <v>802</v>
      </c>
      <c r="B333" s="186" t="s">
        <v>803</v>
      </c>
      <c r="D333" s="178">
        <v>203.94</v>
      </c>
      <c r="E333" s="178">
        <v>77.56</v>
      </c>
      <c r="F333" s="178">
        <v>126.38</v>
      </c>
    </row>
    <row r="334" spans="1:6" x14ac:dyDescent="0.2">
      <c r="A334" s="186" t="s">
        <v>804</v>
      </c>
      <c r="B334" s="186" t="s">
        <v>805</v>
      </c>
      <c r="D334" s="178">
        <v>467.55</v>
      </c>
      <c r="E334" s="178">
        <v>115.02</v>
      </c>
      <c r="F334" s="178">
        <v>352.53</v>
      </c>
    </row>
    <row r="335" spans="1:6" x14ac:dyDescent="0.2">
      <c r="A335" s="186" t="s">
        <v>806</v>
      </c>
      <c r="B335" s="186" t="s">
        <v>807</v>
      </c>
      <c r="D335" s="178">
        <v>878.67</v>
      </c>
      <c r="E335" s="178">
        <v>437.65</v>
      </c>
      <c r="F335" s="178">
        <v>441.02</v>
      </c>
    </row>
    <row r="336" spans="1:6" x14ac:dyDescent="0.2">
      <c r="A336" s="186" t="s">
        <v>808</v>
      </c>
      <c r="B336" s="186" t="s">
        <v>809</v>
      </c>
      <c r="D336" s="178">
        <v>35.729999999999997</v>
      </c>
      <c r="E336" s="178">
        <v>17.28</v>
      </c>
      <c r="F336" s="178">
        <v>18.45</v>
      </c>
    </row>
    <row r="337" spans="1:6" x14ac:dyDescent="0.2">
      <c r="A337" s="186" t="s">
        <v>810</v>
      </c>
      <c r="B337" s="186" t="s">
        <v>811</v>
      </c>
      <c r="D337" s="178">
        <v>12.04</v>
      </c>
      <c r="E337" s="178">
        <v>6.02</v>
      </c>
      <c r="F337" s="178">
        <v>6.02</v>
      </c>
    </row>
    <row r="338" spans="1:6" x14ac:dyDescent="0.2">
      <c r="A338" s="186" t="s">
        <v>812</v>
      </c>
      <c r="B338" s="186" t="s">
        <v>813</v>
      </c>
      <c r="D338" s="178">
        <v>1299.17</v>
      </c>
      <c r="F338" s="178">
        <v>1299.17</v>
      </c>
    </row>
    <row r="339" spans="1:6" x14ac:dyDescent="0.2">
      <c r="A339" s="186" t="s">
        <v>814</v>
      </c>
      <c r="B339" s="186" t="s">
        <v>815</v>
      </c>
      <c r="D339" s="178">
        <v>237.91</v>
      </c>
      <c r="E339" s="178">
        <v>102.24</v>
      </c>
      <c r="F339" s="178">
        <v>135.66999999999999</v>
      </c>
    </row>
    <row r="340" spans="1:6" x14ac:dyDescent="0.2">
      <c r="C340" s="197" t="s">
        <v>465</v>
      </c>
      <c r="D340" s="197" t="s">
        <v>465</v>
      </c>
      <c r="E340" s="197" t="s">
        <v>465</v>
      </c>
      <c r="F340" s="197" t="s">
        <v>465</v>
      </c>
    </row>
    <row r="341" spans="1:6" x14ac:dyDescent="0.2">
      <c r="A341" s="194"/>
      <c r="B341" s="195" t="s">
        <v>816</v>
      </c>
      <c r="C341" s="196"/>
      <c r="D341" s="196">
        <v>5085.88</v>
      </c>
      <c r="E341" s="196">
        <v>1328.19</v>
      </c>
      <c r="F341" s="196">
        <v>3757.69</v>
      </c>
    </row>
    <row r="343" spans="1:6" x14ac:dyDescent="0.2">
      <c r="A343" s="194"/>
      <c r="B343" s="195" t="s">
        <v>817</v>
      </c>
      <c r="C343" s="196"/>
      <c r="D343" s="196"/>
      <c r="E343" s="196"/>
      <c r="F343" s="196"/>
    </row>
    <row r="344" spans="1:6" x14ac:dyDescent="0.2">
      <c r="A344" s="186" t="s">
        <v>818</v>
      </c>
      <c r="B344" s="186" t="s">
        <v>819</v>
      </c>
      <c r="D344" s="178">
        <v>698.6</v>
      </c>
      <c r="E344" s="178">
        <v>143.31</v>
      </c>
      <c r="F344" s="178">
        <v>555.29</v>
      </c>
    </row>
    <row r="345" spans="1:6" x14ac:dyDescent="0.2">
      <c r="A345" s="186" t="s">
        <v>820</v>
      </c>
      <c r="B345" s="186" t="s">
        <v>821</v>
      </c>
      <c r="D345" s="178">
        <v>3.83</v>
      </c>
      <c r="E345" s="178">
        <v>0.87</v>
      </c>
      <c r="F345" s="178">
        <v>2.96</v>
      </c>
    </row>
    <row r="346" spans="1:6" x14ac:dyDescent="0.2">
      <c r="A346" s="186" t="s">
        <v>822</v>
      </c>
      <c r="B346" s="186" t="s">
        <v>823</v>
      </c>
      <c r="D346" s="178">
        <v>3205.54</v>
      </c>
      <c r="E346" s="178">
        <v>2176.06</v>
      </c>
      <c r="F346" s="178">
        <v>1029.48</v>
      </c>
    </row>
    <row r="347" spans="1:6" x14ac:dyDescent="0.2">
      <c r="C347" s="197" t="s">
        <v>465</v>
      </c>
      <c r="D347" s="197" t="s">
        <v>465</v>
      </c>
      <c r="E347" s="197" t="s">
        <v>465</v>
      </c>
      <c r="F347" s="197" t="s">
        <v>465</v>
      </c>
    </row>
    <row r="348" spans="1:6" x14ac:dyDescent="0.2">
      <c r="A348" s="194"/>
      <c r="B348" s="195" t="s">
        <v>824</v>
      </c>
      <c r="C348" s="196"/>
      <c r="D348" s="196">
        <v>3907.97</v>
      </c>
      <c r="E348" s="196">
        <v>2320.2399999999998</v>
      </c>
      <c r="F348" s="196">
        <v>1587.73</v>
      </c>
    </row>
    <row r="350" spans="1:6" x14ac:dyDescent="0.2">
      <c r="A350" s="195" t="s">
        <v>825</v>
      </c>
      <c r="B350" s="195" t="s">
        <v>826</v>
      </c>
      <c r="C350" s="196"/>
      <c r="D350" s="196">
        <v>20</v>
      </c>
      <c r="E350" s="196">
        <v>20</v>
      </c>
      <c r="F350" s="196"/>
    </row>
    <row r="352" spans="1:6" x14ac:dyDescent="0.2">
      <c r="A352" s="195" t="s">
        <v>827</v>
      </c>
      <c r="B352" s="195" t="s">
        <v>828</v>
      </c>
      <c r="C352" s="196"/>
      <c r="D352" s="196"/>
      <c r="E352" s="196">
        <v>23</v>
      </c>
      <c r="F352" s="196">
        <v>-23</v>
      </c>
    </row>
    <row r="354" spans="1:6" x14ac:dyDescent="0.2">
      <c r="A354" s="194"/>
      <c r="B354" s="195" t="s">
        <v>829</v>
      </c>
      <c r="C354" s="196"/>
      <c r="D354" s="196"/>
      <c r="E354" s="196"/>
      <c r="F354" s="196"/>
    </row>
    <row r="355" spans="1:6" x14ac:dyDescent="0.2">
      <c r="A355" s="186" t="s">
        <v>830</v>
      </c>
      <c r="B355" s="186" t="s">
        <v>166</v>
      </c>
      <c r="D355" s="178">
        <v>7275</v>
      </c>
      <c r="E355" s="178">
        <v>592</v>
      </c>
      <c r="F355" s="178">
        <v>6683</v>
      </c>
    </row>
    <row r="356" spans="1:6" x14ac:dyDescent="0.2">
      <c r="C356" s="197" t="s">
        <v>465</v>
      </c>
      <c r="D356" s="197" t="s">
        <v>465</v>
      </c>
      <c r="E356" s="197" t="s">
        <v>465</v>
      </c>
      <c r="F356" s="197" t="s">
        <v>465</v>
      </c>
    </row>
    <row r="357" spans="1:6" x14ac:dyDescent="0.2">
      <c r="A357" s="194"/>
      <c r="B357" s="195" t="s">
        <v>831</v>
      </c>
      <c r="C357" s="196"/>
      <c r="D357" s="196">
        <v>7275</v>
      </c>
      <c r="E357" s="196">
        <v>592</v>
      </c>
      <c r="F357" s="196">
        <v>6683</v>
      </c>
    </row>
    <row r="359" spans="1:6" x14ac:dyDescent="0.2">
      <c r="A359" s="194"/>
      <c r="B359" s="195" t="s">
        <v>832</v>
      </c>
      <c r="C359" s="196"/>
      <c r="D359" s="196"/>
      <c r="E359" s="196"/>
      <c r="F359" s="196"/>
    </row>
    <row r="360" spans="1:6" x14ac:dyDescent="0.2">
      <c r="A360" s="186" t="s">
        <v>833</v>
      </c>
      <c r="B360" s="186" t="s">
        <v>834</v>
      </c>
      <c r="D360" s="178">
        <v>596.75</v>
      </c>
      <c r="E360" s="178">
        <v>185.94</v>
      </c>
      <c r="F360" s="178">
        <v>410.81</v>
      </c>
    </row>
    <row r="361" spans="1:6" x14ac:dyDescent="0.2">
      <c r="A361" s="186" t="s">
        <v>835</v>
      </c>
      <c r="B361" s="186" t="s">
        <v>836</v>
      </c>
      <c r="D361" s="178">
        <v>1696.27</v>
      </c>
      <c r="E361" s="178">
        <v>702.54</v>
      </c>
      <c r="F361" s="178">
        <v>993.73</v>
      </c>
    </row>
    <row r="362" spans="1:6" x14ac:dyDescent="0.2">
      <c r="A362" s="186" t="s">
        <v>837</v>
      </c>
      <c r="B362" s="186" t="s">
        <v>559</v>
      </c>
      <c r="D362" s="178">
        <v>2602.4699999999998</v>
      </c>
      <c r="F362" s="178">
        <v>2602.4699999999998</v>
      </c>
    </row>
    <row r="363" spans="1:6" x14ac:dyDescent="0.2">
      <c r="A363" s="186" t="s">
        <v>838</v>
      </c>
      <c r="B363" s="186" t="s">
        <v>839</v>
      </c>
      <c r="D363" s="178">
        <v>63</v>
      </c>
      <c r="F363" s="178">
        <v>63</v>
      </c>
    </row>
    <row r="364" spans="1:6" x14ac:dyDescent="0.2">
      <c r="C364" s="197" t="s">
        <v>465</v>
      </c>
      <c r="D364" s="197" t="s">
        <v>465</v>
      </c>
      <c r="E364" s="197" t="s">
        <v>465</v>
      </c>
      <c r="F364" s="197" t="s">
        <v>465</v>
      </c>
    </row>
    <row r="365" spans="1:6" x14ac:dyDescent="0.2">
      <c r="A365" s="194"/>
      <c r="B365" s="195" t="s">
        <v>840</v>
      </c>
      <c r="C365" s="196"/>
      <c r="D365" s="196">
        <v>4958.49</v>
      </c>
      <c r="E365" s="196">
        <v>888.48</v>
      </c>
      <c r="F365" s="196">
        <v>4070.01</v>
      </c>
    </row>
    <row r="367" spans="1:6" x14ac:dyDescent="0.2">
      <c r="A367" s="194"/>
      <c r="B367" s="195" t="s">
        <v>841</v>
      </c>
      <c r="C367" s="196"/>
      <c r="D367" s="196"/>
      <c r="E367" s="196"/>
      <c r="F367" s="196"/>
    </row>
    <row r="368" spans="1:6" x14ac:dyDescent="0.2">
      <c r="A368" s="186" t="s">
        <v>842</v>
      </c>
      <c r="B368" s="186" t="s">
        <v>843</v>
      </c>
      <c r="D368" s="178">
        <v>1338</v>
      </c>
      <c r="F368" s="178">
        <v>1338</v>
      </c>
    </row>
    <row r="369" spans="1:6" x14ac:dyDescent="0.2">
      <c r="A369" s="186" t="s">
        <v>844</v>
      </c>
      <c r="B369" s="186" t="s">
        <v>845</v>
      </c>
      <c r="D369" s="178">
        <v>9852</v>
      </c>
      <c r="E369" s="178">
        <v>5023</v>
      </c>
      <c r="F369" s="178">
        <v>4829</v>
      </c>
    </row>
    <row r="370" spans="1:6" x14ac:dyDescent="0.2">
      <c r="A370" s="186" t="s">
        <v>412</v>
      </c>
      <c r="B370" s="186" t="s">
        <v>846</v>
      </c>
      <c r="D370" s="178">
        <v>4349</v>
      </c>
      <c r="E370" s="178">
        <v>13749</v>
      </c>
      <c r="F370" s="178">
        <v>-9400</v>
      </c>
    </row>
    <row r="371" spans="1:6" x14ac:dyDescent="0.2">
      <c r="A371" s="186" t="s">
        <v>847</v>
      </c>
      <c r="B371" s="186" t="s">
        <v>848</v>
      </c>
      <c r="D371" s="178">
        <v>4</v>
      </c>
      <c r="F371" s="178">
        <v>4</v>
      </c>
    </row>
    <row r="372" spans="1:6" x14ac:dyDescent="0.2">
      <c r="C372" s="197" t="s">
        <v>465</v>
      </c>
      <c r="D372" s="197" t="s">
        <v>465</v>
      </c>
      <c r="E372" s="197" t="s">
        <v>465</v>
      </c>
      <c r="F372" s="197" t="s">
        <v>465</v>
      </c>
    </row>
    <row r="373" spans="1:6" x14ac:dyDescent="0.2">
      <c r="A373" s="194"/>
      <c r="B373" s="195" t="s">
        <v>849</v>
      </c>
      <c r="C373" s="196"/>
      <c r="D373" s="196">
        <v>15543</v>
      </c>
      <c r="E373" s="196">
        <v>18772</v>
      </c>
      <c r="F373" s="196">
        <v>-3229</v>
      </c>
    </row>
    <row r="375" spans="1:6" x14ac:dyDescent="0.2">
      <c r="A375" s="194"/>
      <c r="B375" s="195" t="s">
        <v>850</v>
      </c>
      <c r="C375" s="196"/>
      <c r="D375" s="196"/>
      <c r="E375" s="196"/>
      <c r="F375" s="196"/>
    </row>
    <row r="376" spans="1:6" x14ac:dyDescent="0.2">
      <c r="A376" s="186" t="s">
        <v>851</v>
      </c>
      <c r="B376" s="186" t="s">
        <v>444</v>
      </c>
      <c r="D376" s="178">
        <v>2308.54</v>
      </c>
      <c r="F376" s="178">
        <v>2308.54</v>
      </c>
    </row>
    <row r="377" spans="1:6" x14ac:dyDescent="0.2">
      <c r="A377" s="186" t="s">
        <v>852</v>
      </c>
      <c r="B377" s="186" t="s">
        <v>853</v>
      </c>
      <c r="D377" s="178">
        <v>2251.79</v>
      </c>
      <c r="F377" s="178">
        <v>2251.79</v>
      </c>
    </row>
    <row r="378" spans="1:6" x14ac:dyDescent="0.2">
      <c r="C378" s="197" t="s">
        <v>465</v>
      </c>
      <c r="D378" s="197" t="s">
        <v>465</v>
      </c>
      <c r="E378" s="197" t="s">
        <v>465</v>
      </c>
      <c r="F378" s="197" t="s">
        <v>465</v>
      </c>
    </row>
    <row r="379" spans="1:6" x14ac:dyDescent="0.2">
      <c r="A379" s="194"/>
      <c r="B379" s="195" t="s">
        <v>854</v>
      </c>
      <c r="C379" s="196"/>
      <c r="D379" s="196">
        <v>4560.33</v>
      </c>
      <c r="E379" s="196"/>
      <c r="F379" s="196">
        <v>4560.33</v>
      </c>
    </row>
    <row r="381" spans="1:6" x14ac:dyDescent="0.2">
      <c r="A381" s="194"/>
      <c r="B381" s="195" t="s">
        <v>855</v>
      </c>
      <c r="C381" s="196"/>
      <c r="D381" s="196"/>
      <c r="E381" s="196"/>
      <c r="F381" s="196"/>
    </row>
    <row r="382" spans="1:6" x14ac:dyDescent="0.2">
      <c r="A382" s="186" t="s">
        <v>856</v>
      </c>
      <c r="B382" s="186" t="s">
        <v>857</v>
      </c>
      <c r="D382" s="178">
        <v>65</v>
      </c>
      <c r="E382" s="178">
        <v>17.14</v>
      </c>
      <c r="F382" s="178">
        <v>47.86</v>
      </c>
    </row>
    <row r="383" spans="1:6" x14ac:dyDescent="0.2">
      <c r="C383" s="197" t="s">
        <v>465</v>
      </c>
      <c r="D383" s="197" t="s">
        <v>465</v>
      </c>
      <c r="E383" s="197" t="s">
        <v>465</v>
      </c>
      <c r="F383" s="197" t="s">
        <v>465</v>
      </c>
    </row>
    <row r="384" spans="1:6" x14ac:dyDescent="0.2">
      <c r="A384" s="194"/>
      <c r="B384" s="195" t="s">
        <v>858</v>
      </c>
      <c r="C384" s="196"/>
      <c r="D384" s="196">
        <v>65</v>
      </c>
      <c r="E384" s="196">
        <v>17.14</v>
      </c>
      <c r="F384" s="196">
        <v>47.86</v>
      </c>
    </row>
    <row r="386" spans="1:6" x14ac:dyDescent="0.2">
      <c r="A386" s="194"/>
      <c r="B386" s="195" t="s">
        <v>859</v>
      </c>
      <c r="C386" s="196"/>
      <c r="D386" s="196"/>
      <c r="E386" s="196"/>
      <c r="F386" s="196"/>
    </row>
    <row r="387" spans="1:6" x14ac:dyDescent="0.2">
      <c r="A387" s="186" t="s">
        <v>860</v>
      </c>
      <c r="B387" s="186" t="s">
        <v>861</v>
      </c>
      <c r="D387" s="178">
        <v>22.95</v>
      </c>
      <c r="F387" s="178">
        <v>22.95</v>
      </c>
    </row>
    <row r="388" spans="1:6" x14ac:dyDescent="0.2">
      <c r="C388" s="197" t="s">
        <v>465</v>
      </c>
      <c r="D388" s="197" t="s">
        <v>465</v>
      </c>
      <c r="E388" s="197" t="s">
        <v>465</v>
      </c>
      <c r="F388" s="197" t="s">
        <v>465</v>
      </c>
    </row>
    <row r="389" spans="1:6" x14ac:dyDescent="0.2">
      <c r="A389" s="194"/>
      <c r="B389" s="195" t="s">
        <v>862</v>
      </c>
      <c r="C389" s="196"/>
      <c r="D389" s="196">
        <v>22.95</v>
      </c>
      <c r="E389" s="196"/>
      <c r="F389" s="196">
        <v>22.95</v>
      </c>
    </row>
    <row r="391" spans="1:6" x14ac:dyDescent="0.2">
      <c r="A391" s="194"/>
      <c r="B391" s="195" t="s">
        <v>863</v>
      </c>
      <c r="C391" s="196"/>
      <c r="D391" s="196"/>
      <c r="E391" s="196"/>
      <c r="F391" s="196"/>
    </row>
    <row r="392" spans="1:6" x14ac:dyDescent="0.2">
      <c r="A392" s="186" t="s">
        <v>864</v>
      </c>
      <c r="B392" s="186" t="s">
        <v>865</v>
      </c>
      <c r="D392" s="178">
        <v>16</v>
      </c>
      <c r="E392" s="178">
        <v>16</v>
      </c>
    </row>
    <row r="393" spans="1:6" x14ac:dyDescent="0.2">
      <c r="A393" s="186" t="s">
        <v>866</v>
      </c>
      <c r="B393" s="186" t="s">
        <v>867</v>
      </c>
      <c r="E393" s="178">
        <v>4</v>
      </c>
      <c r="F393" s="178">
        <v>-4</v>
      </c>
    </row>
    <row r="394" spans="1:6" x14ac:dyDescent="0.2">
      <c r="C394" s="197" t="s">
        <v>465</v>
      </c>
      <c r="D394" s="197" t="s">
        <v>465</v>
      </c>
      <c r="E394" s="197" t="s">
        <v>465</v>
      </c>
      <c r="F394" s="197" t="s">
        <v>465</v>
      </c>
    </row>
    <row r="395" spans="1:6" x14ac:dyDescent="0.2">
      <c r="A395" s="194"/>
      <c r="B395" s="195" t="s">
        <v>868</v>
      </c>
      <c r="C395" s="196"/>
      <c r="D395" s="196">
        <v>16</v>
      </c>
      <c r="E395" s="196">
        <v>20</v>
      </c>
      <c r="F395" s="196">
        <v>-4</v>
      </c>
    </row>
    <row r="397" spans="1:6" x14ac:dyDescent="0.2">
      <c r="A397" s="195" t="s">
        <v>869</v>
      </c>
      <c r="B397" s="195" t="s">
        <v>870</v>
      </c>
      <c r="C397" s="196"/>
      <c r="D397" s="196">
        <v>181239.09</v>
      </c>
      <c r="E397" s="196">
        <v>193386.89</v>
      </c>
      <c r="F397" s="196">
        <v>-12147.8</v>
      </c>
    </row>
    <row r="399" spans="1:6" x14ac:dyDescent="0.2">
      <c r="C399" s="197" t="s">
        <v>465</v>
      </c>
      <c r="D399" s="197" t="s">
        <v>465</v>
      </c>
      <c r="E399" s="197" t="s">
        <v>465</v>
      </c>
      <c r="F399" s="197" t="s">
        <v>465</v>
      </c>
    </row>
    <row r="400" spans="1:6" x14ac:dyDescent="0.2">
      <c r="B400" s="186" t="s">
        <v>406</v>
      </c>
      <c r="D400" s="178">
        <v>1722010.34</v>
      </c>
      <c r="E400" s="178">
        <v>1722010.34</v>
      </c>
    </row>
    <row r="401" spans="1:6" x14ac:dyDescent="0.2">
      <c r="C401" s="197" t="s">
        <v>871</v>
      </c>
      <c r="D401" s="197" t="s">
        <v>871</v>
      </c>
      <c r="E401" s="197" t="s">
        <v>871</v>
      </c>
      <c r="F401" s="197" t="s">
        <v>871</v>
      </c>
    </row>
    <row r="406" spans="1:6" x14ac:dyDescent="0.2">
      <c r="A406" s="186" t="s">
        <v>872</v>
      </c>
    </row>
    <row r="407" spans="1:6" x14ac:dyDescent="0.2">
      <c r="A407" s="186" t="s">
        <v>873</v>
      </c>
    </row>
    <row r="408" spans="1:6" x14ac:dyDescent="0.2">
      <c r="A408" s="186" t="s">
        <v>874</v>
      </c>
    </row>
    <row r="409" spans="1:6" x14ac:dyDescent="0.2">
      <c r="A409" s="186" t="s">
        <v>875</v>
      </c>
    </row>
  </sheetData>
  <pageMargins left="0.75" right="0.75" top="0.75" bottom="0.75" header="0.5" footer="0.5"/>
  <pageSetup orientation="portrait"/>
  <headerFooter alignWithMargins="0"/>
  <rowBreaks count="1" manualBreakCount="1">
    <brk min="1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26"/>
  <sheetViews>
    <sheetView workbookViewId="0">
      <selection activeCell="E9" sqref="E9"/>
    </sheetView>
  </sheetViews>
  <sheetFormatPr defaultRowHeight="15" x14ac:dyDescent="0.25"/>
  <cols>
    <col min="1" max="1" width="28.7109375" style="1" customWidth="1"/>
    <col min="2" max="2" width="21.7109375" style="1" customWidth="1"/>
    <col min="3" max="3" width="14.7109375" style="2" customWidth="1"/>
    <col min="4" max="4" width="24.5703125" style="3" customWidth="1"/>
    <col min="5" max="5" width="20.28515625" style="3" customWidth="1"/>
    <col min="6" max="6" width="21.7109375" style="3" customWidth="1"/>
    <col min="7" max="16384" width="9.140625" style="104"/>
  </cols>
  <sheetData>
    <row r="1" spans="1:6" s="7" customFormat="1" x14ac:dyDescent="0.25">
      <c r="A1" s="4" t="s">
        <v>876</v>
      </c>
      <c r="B1" s="4" t="s">
        <v>877</v>
      </c>
      <c r="C1" s="6" t="s">
        <v>878</v>
      </c>
      <c r="D1" s="5" t="s">
        <v>184</v>
      </c>
      <c r="E1" s="5" t="s">
        <v>879</v>
      </c>
      <c r="F1" s="5" t="s">
        <v>172</v>
      </c>
    </row>
    <row r="2" spans="1:6" hidden="1" x14ac:dyDescent="0.25">
      <c r="A2" s="1" t="s">
        <v>880</v>
      </c>
      <c r="B2" s="1" t="s">
        <v>253</v>
      </c>
      <c r="C2" s="2">
        <v>43190</v>
      </c>
      <c r="D2" s="3">
        <v>0</v>
      </c>
      <c r="E2" s="3">
        <v>0</v>
      </c>
      <c r="F2" s="3">
        <v>0</v>
      </c>
    </row>
    <row r="3" spans="1:6" hidden="1" x14ac:dyDescent="0.25">
      <c r="A3" s="1" t="s">
        <v>881</v>
      </c>
      <c r="B3" s="1" t="s">
        <v>253</v>
      </c>
      <c r="C3" s="2">
        <v>43190</v>
      </c>
      <c r="D3" s="3">
        <v>12056</v>
      </c>
      <c r="E3" s="3">
        <v>0</v>
      </c>
      <c r="F3" s="3">
        <v>12056</v>
      </c>
    </row>
    <row r="4" spans="1:6" hidden="1" x14ac:dyDescent="0.25">
      <c r="A4" s="1" t="s">
        <v>882</v>
      </c>
      <c r="B4" s="1" t="s">
        <v>253</v>
      </c>
      <c r="C4" s="2">
        <v>43190</v>
      </c>
      <c r="D4" s="3">
        <v>56532</v>
      </c>
      <c r="E4" s="3">
        <v>0</v>
      </c>
      <c r="F4" s="3">
        <v>56532</v>
      </c>
    </row>
    <row r="5" spans="1:6" hidden="1" x14ac:dyDescent="0.25">
      <c r="A5" s="1" t="s">
        <v>883</v>
      </c>
      <c r="B5" s="1" t="s">
        <v>253</v>
      </c>
      <c r="C5" s="2">
        <v>43190</v>
      </c>
      <c r="D5" s="3">
        <v>-12449629</v>
      </c>
      <c r="E5" s="3">
        <v>0</v>
      </c>
      <c r="F5" s="3">
        <v>-12449629</v>
      </c>
    </row>
    <row r="6" spans="1:6" hidden="1" x14ac:dyDescent="0.25">
      <c r="A6" s="1" t="s">
        <v>884</v>
      </c>
      <c r="B6" s="1" t="s">
        <v>253</v>
      </c>
      <c r="C6" s="2">
        <v>43190</v>
      </c>
      <c r="D6" s="3">
        <v>-13911</v>
      </c>
      <c r="E6" s="3">
        <v>0</v>
      </c>
      <c r="F6" s="3">
        <v>-13911</v>
      </c>
    </row>
    <row r="7" spans="1:6" hidden="1" x14ac:dyDescent="0.25">
      <c r="A7" s="1" t="s">
        <v>885</v>
      </c>
      <c r="B7" s="1" t="s">
        <v>253</v>
      </c>
      <c r="C7" s="2">
        <v>43190</v>
      </c>
      <c r="D7" s="3">
        <v>-34461</v>
      </c>
      <c r="E7" s="3">
        <v>0</v>
      </c>
      <c r="F7" s="3">
        <v>-34461</v>
      </c>
    </row>
    <row r="8" spans="1:6" hidden="1" x14ac:dyDescent="0.25">
      <c r="A8" s="1" t="s">
        <v>886</v>
      </c>
      <c r="B8" s="1" t="s">
        <v>253</v>
      </c>
      <c r="C8" s="2">
        <v>43190</v>
      </c>
      <c r="D8" s="3">
        <v>49932</v>
      </c>
      <c r="E8" s="3">
        <v>0</v>
      </c>
      <c r="F8" s="3">
        <v>49932</v>
      </c>
    </row>
    <row r="9" spans="1:6" hidden="1" x14ac:dyDescent="0.25">
      <c r="A9" s="1" t="s">
        <v>887</v>
      </c>
      <c r="B9" s="1" t="s">
        <v>253</v>
      </c>
      <c r="C9" s="2">
        <v>43190</v>
      </c>
      <c r="D9" s="3">
        <v>15639</v>
      </c>
      <c r="E9" s="3">
        <v>0</v>
      </c>
      <c r="F9" s="3">
        <v>15639</v>
      </c>
    </row>
    <row r="10" spans="1:6" hidden="1" x14ac:dyDescent="0.25">
      <c r="A10" s="1" t="s">
        <v>888</v>
      </c>
      <c r="B10" s="1" t="s">
        <v>253</v>
      </c>
      <c r="C10" s="2">
        <v>43190</v>
      </c>
      <c r="D10" s="3">
        <v>0</v>
      </c>
      <c r="E10" s="3">
        <v>0</v>
      </c>
      <c r="F10" s="3">
        <v>0</v>
      </c>
    </row>
    <row r="11" spans="1:6" hidden="1" x14ac:dyDescent="0.25">
      <c r="A11" s="1" t="s">
        <v>889</v>
      </c>
      <c r="B11" s="1" t="s">
        <v>253</v>
      </c>
      <c r="C11" s="2">
        <v>43190</v>
      </c>
      <c r="D11" s="3">
        <v>0</v>
      </c>
      <c r="E11" s="3">
        <v>0</v>
      </c>
      <c r="F11" s="3">
        <v>0</v>
      </c>
    </row>
    <row r="12" spans="1:6" hidden="1" x14ac:dyDescent="0.25">
      <c r="A12" s="1" t="s">
        <v>890</v>
      </c>
      <c r="B12" s="1" t="s">
        <v>253</v>
      </c>
      <c r="C12" s="2">
        <v>43190</v>
      </c>
      <c r="D12" s="3">
        <v>0</v>
      </c>
      <c r="E12" s="3">
        <v>0</v>
      </c>
      <c r="F12" s="3">
        <v>0</v>
      </c>
    </row>
    <row r="13" spans="1:6" hidden="1" x14ac:dyDescent="0.25">
      <c r="A13" s="1" t="s">
        <v>891</v>
      </c>
      <c r="B13" s="1" t="s">
        <v>253</v>
      </c>
      <c r="C13" s="2">
        <v>43190</v>
      </c>
      <c r="D13" s="3">
        <v>67434</v>
      </c>
      <c r="E13" s="3">
        <v>0</v>
      </c>
      <c r="F13" s="3">
        <v>67434</v>
      </c>
    </row>
    <row r="14" spans="1:6" hidden="1" x14ac:dyDescent="0.25">
      <c r="A14" s="1" t="s">
        <v>892</v>
      </c>
      <c r="B14" s="1" t="s">
        <v>253</v>
      </c>
      <c r="C14" s="2">
        <v>43190</v>
      </c>
      <c r="D14" s="3">
        <v>0</v>
      </c>
      <c r="E14" s="3">
        <v>0</v>
      </c>
      <c r="F14" s="3">
        <v>0</v>
      </c>
    </row>
    <row r="15" spans="1:6" hidden="1" x14ac:dyDescent="0.25">
      <c r="A15" s="1" t="s">
        <v>893</v>
      </c>
      <c r="B15" s="1" t="s">
        <v>253</v>
      </c>
      <c r="C15" s="2">
        <v>43190</v>
      </c>
      <c r="D15" s="3">
        <v>96520</v>
      </c>
      <c r="E15" s="3">
        <v>0</v>
      </c>
      <c r="F15" s="3">
        <v>96520</v>
      </c>
    </row>
    <row r="16" spans="1:6" hidden="1" x14ac:dyDescent="0.25">
      <c r="A16" s="1" t="s">
        <v>894</v>
      </c>
      <c r="B16" s="1" t="s">
        <v>253</v>
      </c>
      <c r="C16" s="2">
        <v>43190</v>
      </c>
      <c r="D16" s="3">
        <v>22093</v>
      </c>
      <c r="E16" s="3">
        <v>0</v>
      </c>
      <c r="F16" s="3">
        <v>22093</v>
      </c>
    </row>
    <row r="17" spans="1:6" hidden="1" x14ac:dyDescent="0.25">
      <c r="A17" s="1" t="s">
        <v>895</v>
      </c>
      <c r="B17" s="1" t="s">
        <v>253</v>
      </c>
      <c r="C17" s="2">
        <v>43190</v>
      </c>
      <c r="D17" s="3">
        <v>0</v>
      </c>
      <c r="E17" s="3">
        <v>0</v>
      </c>
      <c r="F17" s="3">
        <v>0</v>
      </c>
    </row>
    <row r="18" spans="1:6" hidden="1" x14ac:dyDescent="0.25">
      <c r="A18" s="1" t="s">
        <v>896</v>
      </c>
      <c r="B18" s="1" t="s">
        <v>253</v>
      </c>
      <c r="C18" s="2">
        <v>43190</v>
      </c>
      <c r="D18" s="3">
        <v>-3938</v>
      </c>
      <c r="E18" s="3">
        <v>0</v>
      </c>
      <c r="F18" s="3">
        <v>-3938</v>
      </c>
    </row>
    <row r="19" spans="1:6" hidden="1" x14ac:dyDescent="0.25">
      <c r="A19" s="1" t="s">
        <v>897</v>
      </c>
      <c r="B19" s="1" t="s">
        <v>253</v>
      </c>
      <c r="C19" s="2">
        <v>43190</v>
      </c>
      <c r="D19" s="3">
        <v>-12374</v>
      </c>
      <c r="E19" s="3">
        <v>0</v>
      </c>
      <c r="F19" s="3">
        <v>-12374</v>
      </c>
    </row>
    <row r="20" spans="1:6" hidden="1" x14ac:dyDescent="0.25">
      <c r="A20" s="1" t="s">
        <v>898</v>
      </c>
      <c r="B20" s="1" t="s">
        <v>253</v>
      </c>
      <c r="C20" s="2">
        <v>43190</v>
      </c>
      <c r="D20" s="3">
        <v>0</v>
      </c>
      <c r="E20" s="3">
        <v>0</v>
      </c>
      <c r="F20" s="3">
        <v>0</v>
      </c>
    </row>
    <row r="21" spans="1:6" hidden="1" x14ac:dyDescent="0.25">
      <c r="A21" s="1" t="s">
        <v>899</v>
      </c>
      <c r="B21" s="1" t="s">
        <v>253</v>
      </c>
      <c r="C21" s="2">
        <v>43190</v>
      </c>
      <c r="D21" s="3">
        <v>0</v>
      </c>
      <c r="E21" s="3">
        <v>0</v>
      </c>
      <c r="F21" s="3">
        <v>0</v>
      </c>
    </row>
    <row r="22" spans="1:6" hidden="1" x14ac:dyDescent="0.25">
      <c r="A22" s="1" t="s">
        <v>900</v>
      </c>
      <c r="B22" s="1" t="s">
        <v>253</v>
      </c>
      <c r="C22" s="2">
        <v>43190</v>
      </c>
      <c r="D22" s="3">
        <v>-28451</v>
      </c>
      <c r="E22" s="3">
        <v>0</v>
      </c>
      <c r="F22" s="3">
        <v>-28451</v>
      </c>
    </row>
    <row r="23" spans="1:6" hidden="1" x14ac:dyDescent="0.25">
      <c r="A23" s="1" t="s">
        <v>901</v>
      </c>
      <c r="B23" s="1" t="s">
        <v>253</v>
      </c>
      <c r="C23" s="2">
        <v>43190</v>
      </c>
      <c r="D23" s="3">
        <v>11932</v>
      </c>
      <c r="E23" s="3">
        <v>0</v>
      </c>
      <c r="F23" s="3">
        <v>11932</v>
      </c>
    </row>
    <row r="24" spans="1:6" hidden="1" x14ac:dyDescent="0.25">
      <c r="A24" s="1" t="s">
        <v>902</v>
      </c>
      <c r="B24" s="1" t="s">
        <v>253</v>
      </c>
      <c r="C24" s="2">
        <v>43190</v>
      </c>
      <c r="D24" s="3">
        <v>499191</v>
      </c>
      <c r="E24" s="3">
        <v>0</v>
      </c>
      <c r="F24" s="3">
        <v>499191</v>
      </c>
    </row>
    <row r="25" spans="1:6" hidden="1" x14ac:dyDescent="0.25">
      <c r="A25" s="1" t="s">
        <v>903</v>
      </c>
      <c r="B25" s="1" t="s">
        <v>240</v>
      </c>
      <c r="C25" s="2">
        <v>43190</v>
      </c>
      <c r="D25" s="3">
        <v>1834.460000000021</v>
      </c>
      <c r="E25" s="3">
        <v>-26362</v>
      </c>
      <c r="F25" s="3">
        <v>-24527.539999999979</v>
      </c>
    </row>
    <row r="26" spans="1:6" hidden="1" x14ac:dyDescent="0.25">
      <c r="A26" s="1" t="s">
        <v>904</v>
      </c>
      <c r="B26" s="1" t="s">
        <v>240</v>
      </c>
      <c r="C26" s="2">
        <v>43190</v>
      </c>
      <c r="D26" s="3">
        <v>-627836</v>
      </c>
      <c r="E26" s="3">
        <v>0</v>
      </c>
      <c r="F26" s="3">
        <v>-627836</v>
      </c>
    </row>
    <row r="27" spans="1:6" hidden="1" x14ac:dyDescent="0.25">
      <c r="A27" s="1" t="s">
        <v>905</v>
      </c>
      <c r="B27" s="1" t="s">
        <v>241</v>
      </c>
      <c r="C27" s="2">
        <v>43190</v>
      </c>
      <c r="D27" s="3">
        <v>-8737245.2800000012</v>
      </c>
      <c r="E27" s="3">
        <v>0</v>
      </c>
      <c r="F27" s="3">
        <v>-8737245.2800000012</v>
      </c>
    </row>
    <row r="28" spans="1:6" hidden="1" x14ac:dyDescent="0.25">
      <c r="A28" s="1" t="s">
        <v>906</v>
      </c>
      <c r="B28" s="1" t="s">
        <v>399</v>
      </c>
      <c r="C28" s="2">
        <v>43190</v>
      </c>
      <c r="D28" s="3">
        <v>-2760999</v>
      </c>
      <c r="E28" s="3">
        <v>0</v>
      </c>
      <c r="F28" s="3">
        <v>-2760999</v>
      </c>
    </row>
    <row r="29" spans="1:6" hidden="1" x14ac:dyDescent="0.25">
      <c r="A29" s="1" t="s">
        <v>907</v>
      </c>
      <c r="B29" s="1" t="s">
        <v>259</v>
      </c>
      <c r="C29" s="2">
        <v>43190</v>
      </c>
      <c r="D29" s="3">
        <v>-30893600</v>
      </c>
      <c r="E29" s="3">
        <v>0</v>
      </c>
      <c r="F29" s="3">
        <v>-30893600</v>
      </c>
    </row>
    <row r="30" spans="1:6" hidden="1" x14ac:dyDescent="0.25">
      <c r="A30" s="1" t="s">
        <v>908</v>
      </c>
      <c r="B30" s="1" t="s">
        <v>909</v>
      </c>
      <c r="C30" s="2">
        <v>43190</v>
      </c>
      <c r="D30" s="3">
        <v>0</v>
      </c>
      <c r="E30" s="3">
        <v>0</v>
      </c>
      <c r="F30" s="3">
        <v>0</v>
      </c>
    </row>
    <row r="31" spans="1:6" hidden="1" x14ac:dyDescent="0.25">
      <c r="A31" s="1" t="s">
        <v>910</v>
      </c>
      <c r="B31" s="1" t="s">
        <v>911</v>
      </c>
      <c r="C31" s="2">
        <v>43190</v>
      </c>
      <c r="D31" s="3">
        <v>0</v>
      </c>
      <c r="E31" s="3">
        <v>0</v>
      </c>
      <c r="F31" s="3">
        <v>0</v>
      </c>
    </row>
    <row r="32" spans="1:6" hidden="1" x14ac:dyDescent="0.25">
      <c r="A32" s="1" t="s">
        <v>912</v>
      </c>
      <c r="B32" s="1" t="s">
        <v>913</v>
      </c>
      <c r="C32" s="2">
        <v>43190</v>
      </c>
      <c r="D32" s="3">
        <v>0</v>
      </c>
      <c r="E32" s="3">
        <v>0</v>
      </c>
      <c r="F32" s="3">
        <v>0</v>
      </c>
    </row>
    <row r="33" spans="1:6" hidden="1" x14ac:dyDescent="0.25">
      <c r="A33" s="1" t="s">
        <v>914</v>
      </c>
      <c r="B33" s="1" t="s">
        <v>909</v>
      </c>
      <c r="C33" s="2">
        <v>43190</v>
      </c>
      <c r="D33" s="3">
        <v>0</v>
      </c>
      <c r="E33" s="3">
        <v>0</v>
      </c>
      <c r="F33" s="3">
        <v>0</v>
      </c>
    </row>
    <row r="34" spans="1:6" hidden="1" x14ac:dyDescent="0.25">
      <c r="A34" s="1" t="s">
        <v>915</v>
      </c>
      <c r="B34" s="1" t="s">
        <v>911</v>
      </c>
      <c r="C34" s="2">
        <v>43190</v>
      </c>
      <c r="D34" s="3">
        <v>0</v>
      </c>
      <c r="E34" s="3">
        <v>0</v>
      </c>
      <c r="F34" s="3">
        <v>0</v>
      </c>
    </row>
    <row r="35" spans="1:6" hidden="1" x14ac:dyDescent="0.25">
      <c r="A35" s="1" t="s">
        <v>916</v>
      </c>
      <c r="B35" s="1" t="s">
        <v>913</v>
      </c>
      <c r="C35" s="2">
        <v>43190</v>
      </c>
      <c r="D35" s="3">
        <v>0</v>
      </c>
      <c r="E35" s="3">
        <v>0</v>
      </c>
      <c r="F35" s="3">
        <v>0</v>
      </c>
    </row>
    <row r="36" spans="1:6" hidden="1" x14ac:dyDescent="0.25">
      <c r="A36" s="1" t="s">
        <v>917</v>
      </c>
      <c r="B36" s="1" t="s">
        <v>909</v>
      </c>
      <c r="C36" s="2">
        <v>43190</v>
      </c>
      <c r="D36" s="3">
        <v>0</v>
      </c>
      <c r="E36" s="3">
        <v>0</v>
      </c>
      <c r="F36" s="3">
        <v>0</v>
      </c>
    </row>
    <row r="37" spans="1:6" hidden="1" x14ac:dyDescent="0.25">
      <c r="A37" s="1" t="s">
        <v>918</v>
      </c>
      <c r="B37" s="1" t="s">
        <v>911</v>
      </c>
      <c r="C37" s="2">
        <v>43190</v>
      </c>
      <c r="D37" s="3">
        <v>0</v>
      </c>
      <c r="E37" s="3">
        <v>0</v>
      </c>
      <c r="F37" s="3">
        <v>0</v>
      </c>
    </row>
    <row r="38" spans="1:6" hidden="1" x14ac:dyDescent="0.25">
      <c r="A38" s="1" t="s">
        <v>919</v>
      </c>
      <c r="B38" s="1" t="s">
        <v>913</v>
      </c>
      <c r="C38" s="2">
        <v>43190</v>
      </c>
      <c r="D38" s="3">
        <v>0</v>
      </c>
      <c r="E38" s="3">
        <v>0</v>
      </c>
      <c r="F38" s="3">
        <v>0</v>
      </c>
    </row>
    <row r="39" spans="1:6" hidden="1" x14ac:dyDescent="0.25">
      <c r="A39" s="1" t="s">
        <v>920</v>
      </c>
      <c r="B39" s="1" t="s">
        <v>921</v>
      </c>
      <c r="C39" s="2">
        <v>43190</v>
      </c>
      <c r="D39" s="3">
        <v>0</v>
      </c>
      <c r="E39" s="3">
        <v>0</v>
      </c>
      <c r="F39" s="3">
        <v>0</v>
      </c>
    </row>
    <row r="40" spans="1:6" hidden="1" x14ac:dyDescent="0.25">
      <c r="A40" s="1" t="s">
        <v>922</v>
      </c>
      <c r="B40" s="1" t="s">
        <v>923</v>
      </c>
      <c r="C40" s="2">
        <v>43190</v>
      </c>
      <c r="D40" s="3">
        <v>0</v>
      </c>
      <c r="E40" s="3">
        <v>0</v>
      </c>
      <c r="F40" s="3">
        <v>0</v>
      </c>
    </row>
    <row r="41" spans="1:6" hidden="1" x14ac:dyDescent="0.25">
      <c r="A41" s="1" t="s">
        <v>924</v>
      </c>
      <c r="B41" s="1" t="s">
        <v>921</v>
      </c>
      <c r="C41" s="2">
        <v>43190</v>
      </c>
      <c r="D41" s="3">
        <v>0</v>
      </c>
      <c r="E41" s="3">
        <v>0</v>
      </c>
      <c r="F41" s="3">
        <v>0</v>
      </c>
    </row>
    <row r="42" spans="1:6" hidden="1" x14ac:dyDescent="0.25">
      <c r="A42" s="1" t="s">
        <v>925</v>
      </c>
      <c r="B42" s="1" t="s">
        <v>923</v>
      </c>
      <c r="C42" s="2">
        <v>43190</v>
      </c>
      <c r="D42" s="3">
        <v>0</v>
      </c>
      <c r="E42" s="3">
        <v>0</v>
      </c>
      <c r="F42" s="3">
        <v>0</v>
      </c>
    </row>
    <row r="43" spans="1:6" hidden="1" x14ac:dyDescent="0.25">
      <c r="A43" s="1" t="s">
        <v>926</v>
      </c>
      <c r="B43" s="1" t="s">
        <v>921</v>
      </c>
      <c r="C43" s="2">
        <v>43190</v>
      </c>
      <c r="D43" s="3">
        <v>0</v>
      </c>
      <c r="E43" s="3">
        <v>0</v>
      </c>
      <c r="F43" s="3">
        <v>0</v>
      </c>
    </row>
    <row r="44" spans="1:6" hidden="1" x14ac:dyDescent="0.25">
      <c r="A44" s="1" t="s">
        <v>927</v>
      </c>
      <c r="B44" s="1" t="s">
        <v>923</v>
      </c>
      <c r="C44" s="2">
        <v>43190</v>
      </c>
      <c r="D44" s="3">
        <v>0</v>
      </c>
      <c r="E44" s="3">
        <v>0</v>
      </c>
      <c r="F44" s="3">
        <v>0</v>
      </c>
    </row>
    <row r="45" spans="1:6" hidden="1" x14ac:dyDescent="0.25">
      <c r="A45" s="1" t="s">
        <v>928</v>
      </c>
      <c r="B45" s="1" t="s">
        <v>921</v>
      </c>
      <c r="C45" s="2">
        <v>43190</v>
      </c>
      <c r="D45" s="3">
        <v>0</v>
      </c>
      <c r="E45" s="3">
        <v>0</v>
      </c>
      <c r="F45" s="3">
        <v>0</v>
      </c>
    </row>
    <row r="46" spans="1:6" hidden="1" x14ac:dyDescent="0.25">
      <c r="A46" s="1" t="s">
        <v>929</v>
      </c>
      <c r="B46" s="1" t="s">
        <v>923</v>
      </c>
      <c r="C46" s="2">
        <v>43190</v>
      </c>
      <c r="D46" s="3">
        <v>0</v>
      </c>
      <c r="E46" s="3">
        <v>0</v>
      </c>
      <c r="F46" s="3">
        <v>0</v>
      </c>
    </row>
    <row r="47" spans="1:6" hidden="1" x14ac:dyDescent="0.25">
      <c r="A47" s="1" t="s">
        <v>930</v>
      </c>
      <c r="B47" s="1" t="s">
        <v>921</v>
      </c>
      <c r="C47" s="2">
        <v>43190</v>
      </c>
      <c r="D47" s="3">
        <v>0</v>
      </c>
      <c r="E47" s="3">
        <v>0</v>
      </c>
      <c r="F47" s="3">
        <v>0</v>
      </c>
    </row>
    <row r="48" spans="1:6" hidden="1" x14ac:dyDescent="0.25">
      <c r="A48" s="1" t="s">
        <v>931</v>
      </c>
      <c r="B48" s="1" t="s">
        <v>923</v>
      </c>
      <c r="C48" s="2">
        <v>43190</v>
      </c>
      <c r="D48" s="3">
        <v>0</v>
      </c>
      <c r="E48" s="3">
        <v>0</v>
      </c>
      <c r="F48" s="3">
        <v>0</v>
      </c>
    </row>
    <row r="49" spans="1:6" hidden="1" x14ac:dyDescent="0.25">
      <c r="A49" s="1" t="s">
        <v>932</v>
      </c>
      <c r="B49" s="1" t="s">
        <v>921</v>
      </c>
      <c r="C49" s="2">
        <v>43190</v>
      </c>
      <c r="D49" s="3">
        <v>0</v>
      </c>
      <c r="E49" s="3">
        <v>0</v>
      </c>
      <c r="F49" s="3">
        <v>0</v>
      </c>
    </row>
    <row r="50" spans="1:6" hidden="1" x14ac:dyDescent="0.25">
      <c r="A50" s="1" t="s">
        <v>933</v>
      </c>
      <c r="B50" s="1" t="s">
        <v>923</v>
      </c>
      <c r="C50" s="2">
        <v>43190</v>
      </c>
      <c r="D50" s="3">
        <v>0</v>
      </c>
      <c r="E50" s="3">
        <v>0</v>
      </c>
      <c r="F50" s="3">
        <v>0</v>
      </c>
    </row>
    <row r="51" spans="1:6" hidden="1" x14ac:dyDescent="0.25">
      <c r="A51" s="1" t="s">
        <v>934</v>
      </c>
      <c r="B51" s="1" t="s">
        <v>935</v>
      </c>
      <c r="C51" s="2">
        <v>43190</v>
      </c>
      <c r="D51" s="3">
        <v>-7.2759576141834259E-12</v>
      </c>
      <c r="E51" s="3">
        <v>0</v>
      </c>
      <c r="F51" s="3">
        <v>-7.2759576141834259E-12</v>
      </c>
    </row>
    <row r="52" spans="1:6" hidden="1" x14ac:dyDescent="0.25">
      <c r="A52" s="1" t="s">
        <v>936</v>
      </c>
      <c r="B52" s="1" t="s">
        <v>937</v>
      </c>
      <c r="C52" s="2">
        <v>43190</v>
      </c>
      <c r="D52" s="3">
        <v>0</v>
      </c>
      <c r="E52" s="3">
        <v>0</v>
      </c>
      <c r="F52" s="3">
        <v>0</v>
      </c>
    </row>
    <row r="53" spans="1:6" hidden="1" x14ac:dyDescent="0.25">
      <c r="A53" s="1" t="s">
        <v>938</v>
      </c>
      <c r="B53" s="1" t="s">
        <v>935</v>
      </c>
      <c r="C53" s="2">
        <v>43190</v>
      </c>
      <c r="D53" s="3">
        <v>0</v>
      </c>
      <c r="E53" s="3">
        <v>0</v>
      </c>
      <c r="F53" s="3">
        <v>0</v>
      </c>
    </row>
    <row r="54" spans="1:6" hidden="1" x14ac:dyDescent="0.25">
      <c r="A54" s="1" t="s">
        <v>939</v>
      </c>
      <c r="B54" s="1" t="s">
        <v>937</v>
      </c>
      <c r="C54" s="2">
        <v>43190</v>
      </c>
      <c r="D54" s="3">
        <v>0</v>
      </c>
      <c r="E54" s="3">
        <v>0</v>
      </c>
      <c r="F54" s="3">
        <v>0</v>
      </c>
    </row>
    <row r="55" spans="1:6" hidden="1" x14ac:dyDescent="0.25">
      <c r="A55" s="1" t="s">
        <v>940</v>
      </c>
      <c r="B55" s="1" t="s">
        <v>935</v>
      </c>
      <c r="C55" s="2">
        <v>43190</v>
      </c>
      <c r="D55" s="3">
        <v>0</v>
      </c>
      <c r="E55" s="3">
        <v>0</v>
      </c>
      <c r="F55" s="3">
        <v>0</v>
      </c>
    </row>
    <row r="56" spans="1:6" hidden="1" x14ac:dyDescent="0.25">
      <c r="A56" s="1" t="s">
        <v>941</v>
      </c>
      <c r="B56" s="1" t="s">
        <v>937</v>
      </c>
      <c r="C56" s="2">
        <v>43190</v>
      </c>
      <c r="D56" s="3">
        <v>0</v>
      </c>
      <c r="E56" s="3">
        <v>0</v>
      </c>
      <c r="F56" s="3">
        <v>0</v>
      </c>
    </row>
    <row r="57" spans="1:6" hidden="1" x14ac:dyDescent="0.25">
      <c r="A57" s="1" t="s">
        <v>942</v>
      </c>
      <c r="B57" s="1" t="s">
        <v>935</v>
      </c>
      <c r="C57" s="2">
        <v>43190</v>
      </c>
      <c r="D57" s="3">
        <v>0</v>
      </c>
      <c r="E57" s="3">
        <v>0</v>
      </c>
      <c r="F57" s="3">
        <v>0</v>
      </c>
    </row>
    <row r="58" spans="1:6" hidden="1" x14ac:dyDescent="0.25">
      <c r="A58" s="1" t="s">
        <v>943</v>
      </c>
      <c r="B58" s="1" t="s">
        <v>937</v>
      </c>
      <c r="C58" s="2">
        <v>43190</v>
      </c>
      <c r="D58" s="3">
        <v>0</v>
      </c>
      <c r="E58" s="3">
        <v>0</v>
      </c>
      <c r="F58" s="3">
        <v>0</v>
      </c>
    </row>
    <row r="59" spans="1:6" hidden="1" x14ac:dyDescent="0.25">
      <c r="A59" s="1" t="s">
        <v>944</v>
      </c>
      <c r="B59" s="1" t="s">
        <v>935</v>
      </c>
      <c r="C59" s="2">
        <v>43190</v>
      </c>
      <c r="D59" s="3">
        <v>-5.8207660913467407E-11</v>
      </c>
      <c r="E59" s="3">
        <v>0</v>
      </c>
      <c r="F59" s="3">
        <v>-5.8207660913467407E-11</v>
      </c>
    </row>
    <row r="60" spans="1:6" hidden="1" x14ac:dyDescent="0.25">
      <c r="A60" s="1" t="s">
        <v>945</v>
      </c>
      <c r="B60" s="1" t="s">
        <v>937</v>
      </c>
      <c r="C60" s="2">
        <v>43190</v>
      </c>
      <c r="D60" s="3">
        <v>0</v>
      </c>
      <c r="E60" s="3">
        <v>0</v>
      </c>
      <c r="F60" s="3">
        <v>0</v>
      </c>
    </row>
    <row r="61" spans="1:6" hidden="1" x14ac:dyDescent="0.25">
      <c r="A61" s="1" t="s">
        <v>946</v>
      </c>
      <c r="B61" s="1" t="s">
        <v>935</v>
      </c>
      <c r="C61" s="2">
        <v>43190</v>
      </c>
      <c r="D61" s="3">
        <v>0</v>
      </c>
      <c r="E61" s="3">
        <v>0</v>
      </c>
      <c r="F61" s="3">
        <v>0</v>
      </c>
    </row>
    <row r="62" spans="1:6" hidden="1" x14ac:dyDescent="0.25">
      <c r="A62" s="1" t="s">
        <v>947</v>
      </c>
      <c r="B62" s="1" t="s">
        <v>921</v>
      </c>
      <c r="C62" s="2">
        <v>43190</v>
      </c>
      <c r="D62" s="3">
        <v>0</v>
      </c>
      <c r="E62" s="3">
        <v>0</v>
      </c>
      <c r="F62" s="3">
        <v>0</v>
      </c>
    </row>
    <row r="63" spans="1:6" hidden="1" x14ac:dyDescent="0.25">
      <c r="A63" s="1" t="s">
        <v>948</v>
      </c>
      <c r="B63" s="1" t="s">
        <v>923</v>
      </c>
      <c r="C63" s="2">
        <v>43190</v>
      </c>
      <c r="D63" s="3">
        <v>0</v>
      </c>
      <c r="E63" s="3">
        <v>0</v>
      </c>
      <c r="F63" s="3">
        <v>0</v>
      </c>
    </row>
    <row r="64" spans="1:6" hidden="1" x14ac:dyDescent="0.25">
      <c r="A64" s="1" t="s">
        <v>949</v>
      </c>
      <c r="B64" s="1" t="s">
        <v>921</v>
      </c>
      <c r="C64" s="2">
        <v>43190</v>
      </c>
      <c r="D64" s="3">
        <v>0</v>
      </c>
      <c r="E64" s="3">
        <v>0</v>
      </c>
      <c r="F64" s="3">
        <v>0</v>
      </c>
    </row>
    <row r="65" spans="1:6" hidden="1" x14ac:dyDescent="0.25">
      <c r="A65" s="1" t="s">
        <v>950</v>
      </c>
      <c r="B65" s="1" t="s">
        <v>923</v>
      </c>
      <c r="C65" s="2">
        <v>43190</v>
      </c>
      <c r="D65" s="3">
        <v>0</v>
      </c>
      <c r="E65" s="3">
        <v>0</v>
      </c>
      <c r="F65" s="3">
        <v>0</v>
      </c>
    </row>
    <row r="66" spans="1:6" hidden="1" x14ac:dyDescent="0.25">
      <c r="A66" s="1" t="s">
        <v>951</v>
      </c>
      <c r="B66" s="1" t="s">
        <v>921</v>
      </c>
      <c r="C66" s="2">
        <v>43190</v>
      </c>
      <c r="D66" s="3">
        <v>0</v>
      </c>
      <c r="E66" s="3">
        <v>0</v>
      </c>
      <c r="F66" s="3">
        <v>0</v>
      </c>
    </row>
    <row r="67" spans="1:6" hidden="1" x14ac:dyDescent="0.25">
      <c r="A67" s="1" t="s">
        <v>952</v>
      </c>
      <c r="B67" s="1" t="s">
        <v>923</v>
      </c>
      <c r="C67" s="2">
        <v>43190</v>
      </c>
      <c r="D67" s="3">
        <v>0</v>
      </c>
      <c r="E67" s="3">
        <v>0</v>
      </c>
      <c r="F67" s="3">
        <v>0</v>
      </c>
    </row>
    <row r="68" spans="1:6" hidden="1" x14ac:dyDescent="0.25">
      <c r="A68" s="1" t="s">
        <v>953</v>
      </c>
      <c r="B68" s="1" t="s">
        <v>909</v>
      </c>
      <c r="C68" s="2">
        <v>43190</v>
      </c>
      <c r="D68" s="3">
        <v>0</v>
      </c>
      <c r="E68" s="3">
        <v>0</v>
      </c>
      <c r="F68" s="3">
        <v>0</v>
      </c>
    </row>
    <row r="69" spans="1:6" hidden="1" x14ac:dyDescent="0.25">
      <c r="A69" s="1" t="s">
        <v>954</v>
      </c>
      <c r="B69" s="1" t="s">
        <v>911</v>
      </c>
      <c r="C69" s="2">
        <v>43190</v>
      </c>
      <c r="D69" s="3">
        <v>0</v>
      </c>
      <c r="E69" s="3">
        <v>0</v>
      </c>
      <c r="F69" s="3">
        <v>0</v>
      </c>
    </row>
    <row r="70" spans="1:6" hidden="1" x14ac:dyDescent="0.25">
      <c r="A70" s="1" t="s">
        <v>955</v>
      </c>
      <c r="B70" s="1" t="s">
        <v>913</v>
      </c>
      <c r="C70" s="2">
        <v>43190</v>
      </c>
      <c r="D70" s="3">
        <v>0</v>
      </c>
      <c r="E70" s="3">
        <v>0</v>
      </c>
      <c r="F70" s="3">
        <v>0</v>
      </c>
    </row>
    <row r="71" spans="1:6" hidden="1" x14ac:dyDescent="0.25">
      <c r="A71" s="1" t="s">
        <v>956</v>
      </c>
      <c r="B71" s="1" t="s">
        <v>909</v>
      </c>
      <c r="C71" s="2">
        <v>43190</v>
      </c>
      <c r="D71" s="3">
        <v>0</v>
      </c>
      <c r="E71" s="3">
        <v>0</v>
      </c>
      <c r="F71" s="3">
        <v>0</v>
      </c>
    </row>
    <row r="72" spans="1:6" hidden="1" x14ac:dyDescent="0.25">
      <c r="A72" s="1" t="s">
        <v>957</v>
      </c>
      <c r="B72" s="1" t="s">
        <v>911</v>
      </c>
      <c r="C72" s="2">
        <v>43190</v>
      </c>
      <c r="D72" s="3">
        <v>0</v>
      </c>
      <c r="E72" s="3">
        <v>0</v>
      </c>
      <c r="F72" s="3">
        <v>0</v>
      </c>
    </row>
    <row r="73" spans="1:6" hidden="1" x14ac:dyDescent="0.25">
      <c r="A73" s="1" t="s">
        <v>958</v>
      </c>
      <c r="B73" s="1" t="s">
        <v>913</v>
      </c>
      <c r="C73" s="2">
        <v>43190</v>
      </c>
      <c r="D73" s="3">
        <v>0</v>
      </c>
      <c r="E73" s="3">
        <v>0</v>
      </c>
      <c r="F73" s="3">
        <v>0</v>
      </c>
    </row>
    <row r="74" spans="1:6" hidden="1" x14ac:dyDescent="0.25">
      <c r="A74" s="1" t="s">
        <v>959</v>
      </c>
      <c r="B74" s="1" t="s">
        <v>921</v>
      </c>
      <c r="C74" s="2">
        <v>43190</v>
      </c>
      <c r="D74" s="3">
        <v>0</v>
      </c>
      <c r="E74" s="3">
        <v>0</v>
      </c>
      <c r="F74" s="3">
        <v>0</v>
      </c>
    </row>
    <row r="75" spans="1:6" hidden="1" x14ac:dyDescent="0.25">
      <c r="A75" s="1" t="s">
        <v>960</v>
      </c>
      <c r="B75" s="1" t="s">
        <v>923</v>
      </c>
      <c r="C75" s="2">
        <v>43190</v>
      </c>
      <c r="D75" s="3">
        <v>0</v>
      </c>
      <c r="E75" s="3">
        <v>0</v>
      </c>
      <c r="F75" s="3">
        <v>0</v>
      </c>
    </row>
    <row r="76" spans="1:6" hidden="1" x14ac:dyDescent="0.25">
      <c r="A76" s="1" t="s">
        <v>961</v>
      </c>
      <c r="B76" s="1" t="s">
        <v>921</v>
      </c>
      <c r="C76" s="2">
        <v>43190</v>
      </c>
      <c r="D76" s="3">
        <v>0</v>
      </c>
      <c r="E76" s="3">
        <v>0</v>
      </c>
      <c r="F76" s="3">
        <v>0</v>
      </c>
    </row>
    <row r="77" spans="1:6" hidden="1" x14ac:dyDescent="0.25">
      <c r="A77" s="1" t="s">
        <v>962</v>
      </c>
      <c r="B77" s="1" t="s">
        <v>923</v>
      </c>
      <c r="C77" s="2">
        <v>43190</v>
      </c>
      <c r="D77" s="3">
        <v>0</v>
      </c>
      <c r="E77" s="3">
        <v>0</v>
      </c>
      <c r="F77" s="3">
        <v>0</v>
      </c>
    </row>
    <row r="78" spans="1:6" hidden="1" x14ac:dyDescent="0.25">
      <c r="A78" s="1" t="s">
        <v>963</v>
      </c>
      <c r="B78" s="1" t="s">
        <v>935</v>
      </c>
      <c r="C78" s="2">
        <v>43190</v>
      </c>
      <c r="D78" s="3">
        <v>0</v>
      </c>
      <c r="E78" s="3">
        <v>0</v>
      </c>
      <c r="F78" s="3">
        <v>0</v>
      </c>
    </row>
    <row r="79" spans="1:6" hidden="1" x14ac:dyDescent="0.25">
      <c r="A79" s="1" t="s">
        <v>964</v>
      </c>
      <c r="B79" s="1" t="s">
        <v>937</v>
      </c>
      <c r="C79" s="2">
        <v>43190</v>
      </c>
      <c r="D79" s="3">
        <v>0</v>
      </c>
      <c r="E79" s="3">
        <v>0</v>
      </c>
      <c r="F79" s="3">
        <v>0</v>
      </c>
    </row>
    <row r="80" spans="1:6" hidden="1" x14ac:dyDescent="0.25">
      <c r="A80" s="1" t="s">
        <v>965</v>
      </c>
      <c r="B80" s="1" t="s">
        <v>935</v>
      </c>
      <c r="C80" s="2">
        <v>43190</v>
      </c>
      <c r="D80" s="3">
        <v>0</v>
      </c>
      <c r="E80" s="3">
        <v>0</v>
      </c>
      <c r="F80" s="3">
        <v>0</v>
      </c>
    </row>
    <row r="81" spans="1:6" hidden="1" x14ac:dyDescent="0.25">
      <c r="A81" s="1" t="s">
        <v>966</v>
      </c>
      <c r="B81" s="1" t="s">
        <v>937</v>
      </c>
      <c r="C81" s="2">
        <v>43190</v>
      </c>
      <c r="D81" s="3">
        <v>0</v>
      </c>
      <c r="E81" s="3">
        <v>0</v>
      </c>
      <c r="F81" s="3">
        <v>0</v>
      </c>
    </row>
    <row r="82" spans="1:6" hidden="1" x14ac:dyDescent="0.25">
      <c r="A82" s="1" t="s">
        <v>967</v>
      </c>
      <c r="B82" s="1" t="s">
        <v>935</v>
      </c>
      <c r="C82" s="2">
        <v>43190</v>
      </c>
      <c r="D82" s="3">
        <v>0</v>
      </c>
      <c r="E82" s="3">
        <v>0</v>
      </c>
      <c r="F82" s="3">
        <v>0</v>
      </c>
    </row>
    <row r="83" spans="1:6" hidden="1" x14ac:dyDescent="0.25">
      <c r="A83" s="1" t="s">
        <v>968</v>
      </c>
      <c r="B83" s="1" t="s">
        <v>937</v>
      </c>
      <c r="C83" s="2">
        <v>43190</v>
      </c>
      <c r="D83" s="3">
        <v>0</v>
      </c>
      <c r="E83" s="3">
        <v>0</v>
      </c>
      <c r="F83" s="3">
        <v>0</v>
      </c>
    </row>
    <row r="84" spans="1:6" hidden="1" x14ac:dyDescent="0.25">
      <c r="A84" s="1" t="s">
        <v>969</v>
      </c>
      <c r="B84" s="1" t="s">
        <v>935</v>
      </c>
      <c r="C84" s="2">
        <v>43190</v>
      </c>
      <c r="D84" s="3">
        <v>0</v>
      </c>
      <c r="E84" s="3">
        <v>0</v>
      </c>
      <c r="F84" s="3">
        <v>0</v>
      </c>
    </row>
    <row r="85" spans="1:6" hidden="1" x14ac:dyDescent="0.25">
      <c r="A85" s="1" t="s">
        <v>970</v>
      </c>
      <c r="B85" s="1" t="s">
        <v>937</v>
      </c>
      <c r="C85" s="2">
        <v>43190</v>
      </c>
      <c r="D85" s="3">
        <v>0</v>
      </c>
      <c r="E85" s="3">
        <v>0</v>
      </c>
      <c r="F85" s="3">
        <v>0</v>
      </c>
    </row>
    <row r="86" spans="1:6" hidden="1" x14ac:dyDescent="0.25">
      <c r="A86" s="1" t="s">
        <v>971</v>
      </c>
      <c r="B86" s="1" t="s">
        <v>935</v>
      </c>
      <c r="C86" s="2">
        <v>43190</v>
      </c>
      <c r="D86" s="3">
        <v>0</v>
      </c>
      <c r="E86" s="3">
        <v>0</v>
      </c>
      <c r="F86" s="3">
        <v>0</v>
      </c>
    </row>
    <row r="87" spans="1:6" hidden="1" x14ac:dyDescent="0.25">
      <c r="A87" s="1" t="s">
        <v>972</v>
      </c>
      <c r="B87" s="1" t="s">
        <v>937</v>
      </c>
      <c r="C87" s="2">
        <v>43190</v>
      </c>
      <c r="D87" s="3">
        <v>0</v>
      </c>
      <c r="E87" s="3">
        <v>0</v>
      </c>
      <c r="F87" s="3">
        <v>0</v>
      </c>
    </row>
    <row r="88" spans="1:6" hidden="1" x14ac:dyDescent="0.25">
      <c r="A88" s="1" t="s">
        <v>973</v>
      </c>
      <c r="B88" s="1" t="s">
        <v>909</v>
      </c>
      <c r="C88" s="2">
        <v>43190</v>
      </c>
      <c r="D88" s="3">
        <v>0</v>
      </c>
      <c r="E88" s="3">
        <v>0</v>
      </c>
      <c r="F88" s="3">
        <v>0</v>
      </c>
    </row>
    <row r="89" spans="1:6" hidden="1" x14ac:dyDescent="0.25">
      <c r="A89" s="1" t="s">
        <v>974</v>
      </c>
      <c r="B89" s="1" t="s">
        <v>911</v>
      </c>
      <c r="C89" s="2">
        <v>43190</v>
      </c>
      <c r="D89" s="3">
        <v>0</v>
      </c>
      <c r="E89" s="3">
        <v>0</v>
      </c>
      <c r="F89" s="3">
        <v>0</v>
      </c>
    </row>
    <row r="90" spans="1:6" hidden="1" x14ac:dyDescent="0.25">
      <c r="A90" s="1" t="s">
        <v>975</v>
      </c>
      <c r="B90" s="1" t="s">
        <v>913</v>
      </c>
      <c r="C90" s="2">
        <v>43190</v>
      </c>
      <c r="D90" s="3">
        <v>0</v>
      </c>
      <c r="E90" s="3">
        <v>0</v>
      </c>
      <c r="F90" s="3">
        <v>0</v>
      </c>
    </row>
    <row r="91" spans="1:6" hidden="1" x14ac:dyDescent="0.25">
      <c r="A91" s="1" t="s">
        <v>976</v>
      </c>
      <c r="B91" s="1" t="s">
        <v>921</v>
      </c>
      <c r="C91" s="2">
        <v>43190</v>
      </c>
      <c r="D91" s="3">
        <v>0</v>
      </c>
      <c r="E91" s="3">
        <v>0</v>
      </c>
      <c r="F91" s="3">
        <v>0</v>
      </c>
    </row>
    <row r="92" spans="1:6" hidden="1" x14ac:dyDescent="0.25">
      <c r="A92" s="1" t="s">
        <v>977</v>
      </c>
      <c r="B92" s="1" t="s">
        <v>923</v>
      </c>
      <c r="C92" s="2">
        <v>43190</v>
      </c>
      <c r="D92" s="3">
        <v>0</v>
      </c>
      <c r="E92" s="3">
        <v>0</v>
      </c>
      <c r="F92" s="3">
        <v>0</v>
      </c>
    </row>
    <row r="93" spans="1:6" hidden="1" x14ac:dyDescent="0.25">
      <c r="A93" s="1" t="s">
        <v>978</v>
      </c>
      <c r="B93" s="1" t="s">
        <v>935</v>
      </c>
      <c r="C93" s="2">
        <v>43190</v>
      </c>
      <c r="D93" s="3">
        <v>0</v>
      </c>
      <c r="E93" s="3">
        <v>0</v>
      </c>
      <c r="F93" s="3">
        <v>0</v>
      </c>
    </row>
    <row r="94" spans="1:6" hidden="1" x14ac:dyDescent="0.25">
      <c r="A94" s="1" t="s">
        <v>979</v>
      </c>
      <c r="B94" s="1" t="s">
        <v>937</v>
      </c>
      <c r="C94" s="2">
        <v>43190</v>
      </c>
      <c r="D94" s="3">
        <v>0</v>
      </c>
      <c r="E94" s="3">
        <v>0</v>
      </c>
      <c r="F94" s="3">
        <v>0</v>
      </c>
    </row>
    <row r="95" spans="1:6" hidden="1" x14ac:dyDescent="0.25">
      <c r="A95" s="1" t="s">
        <v>980</v>
      </c>
      <c r="B95" s="1" t="s">
        <v>909</v>
      </c>
      <c r="C95" s="2">
        <v>43190</v>
      </c>
      <c r="D95" s="3">
        <v>0</v>
      </c>
      <c r="E95" s="3">
        <v>0</v>
      </c>
      <c r="F95" s="3">
        <v>0</v>
      </c>
    </row>
    <row r="96" spans="1:6" hidden="1" x14ac:dyDescent="0.25">
      <c r="A96" s="1" t="s">
        <v>981</v>
      </c>
      <c r="B96" s="1" t="s">
        <v>911</v>
      </c>
      <c r="C96" s="2">
        <v>43190</v>
      </c>
      <c r="D96" s="3">
        <v>0</v>
      </c>
      <c r="E96" s="3">
        <v>0</v>
      </c>
      <c r="F96" s="3">
        <v>0</v>
      </c>
    </row>
    <row r="97" spans="1:6" hidden="1" x14ac:dyDescent="0.25">
      <c r="A97" s="1" t="s">
        <v>982</v>
      </c>
      <c r="B97" s="1" t="s">
        <v>913</v>
      </c>
      <c r="C97" s="2">
        <v>43190</v>
      </c>
      <c r="D97" s="3">
        <v>0</v>
      </c>
      <c r="E97" s="3">
        <v>0</v>
      </c>
      <c r="F97" s="3">
        <v>0</v>
      </c>
    </row>
    <row r="98" spans="1:6" hidden="1" x14ac:dyDescent="0.25">
      <c r="A98" s="1" t="s">
        <v>983</v>
      </c>
      <c r="B98" s="1" t="s">
        <v>935</v>
      </c>
      <c r="C98" s="2">
        <v>43190</v>
      </c>
      <c r="D98" s="3">
        <v>0</v>
      </c>
      <c r="E98" s="3">
        <v>0</v>
      </c>
      <c r="F98" s="3">
        <v>0</v>
      </c>
    </row>
    <row r="99" spans="1:6" hidden="1" x14ac:dyDescent="0.25">
      <c r="A99" s="1" t="s">
        <v>984</v>
      </c>
      <c r="B99" s="1" t="s">
        <v>937</v>
      </c>
      <c r="C99" s="2">
        <v>43190</v>
      </c>
      <c r="D99" s="3">
        <v>0</v>
      </c>
      <c r="E99" s="3">
        <v>0</v>
      </c>
      <c r="F99" s="3">
        <v>0</v>
      </c>
    </row>
    <row r="100" spans="1:6" hidden="1" x14ac:dyDescent="0.25">
      <c r="A100" s="1" t="s">
        <v>985</v>
      </c>
      <c r="B100" s="1" t="s">
        <v>921</v>
      </c>
      <c r="C100" s="2">
        <v>43190</v>
      </c>
      <c r="D100" s="3">
        <v>0</v>
      </c>
      <c r="E100" s="3">
        <v>0</v>
      </c>
      <c r="F100" s="3">
        <v>0</v>
      </c>
    </row>
    <row r="101" spans="1:6" hidden="1" x14ac:dyDescent="0.25">
      <c r="A101" s="1" t="s">
        <v>986</v>
      </c>
      <c r="B101" s="1" t="s">
        <v>923</v>
      </c>
      <c r="C101" s="2">
        <v>43190</v>
      </c>
      <c r="D101" s="3">
        <v>0</v>
      </c>
      <c r="E101" s="3">
        <v>0</v>
      </c>
      <c r="F101" s="3">
        <v>0</v>
      </c>
    </row>
    <row r="102" spans="1:6" hidden="1" x14ac:dyDescent="0.25">
      <c r="A102" s="1" t="s">
        <v>987</v>
      </c>
      <c r="B102" s="1" t="s">
        <v>240</v>
      </c>
      <c r="C102" s="2">
        <v>43190</v>
      </c>
      <c r="D102" s="3">
        <v>0</v>
      </c>
      <c r="E102" s="3">
        <v>0</v>
      </c>
      <c r="F102" s="3">
        <v>0</v>
      </c>
    </row>
    <row r="103" spans="1:6" hidden="1" x14ac:dyDescent="0.25">
      <c r="A103" s="1" t="s">
        <v>988</v>
      </c>
      <c r="B103" s="1" t="s">
        <v>241</v>
      </c>
      <c r="C103" s="2">
        <v>43190</v>
      </c>
      <c r="D103" s="3">
        <v>2.9103830456733704E-11</v>
      </c>
      <c r="E103" s="3">
        <v>0</v>
      </c>
      <c r="F103" s="3">
        <v>2.9103830456733704E-11</v>
      </c>
    </row>
    <row r="104" spans="1:6" hidden="1" x14ac:dyDescent="0.25">
      <c r="A104" s="1" t="s">
        <v>989</v>
      </c>
      <c r="B104" s="1" t="s">
        <v>259</v>
      </c>
      <c r="C104" s="2">
        <v>43190</v>
      </c>
      <c r="D104" s="3">
        <v>-4.3655745685100555E-11</v>
      </c>
      <c r="E104" s="3">
        <v>0</v>
      </c>
      <c r="F104" s="3">
        <v>-4.3655745685100555E-11</v>
      </c>
    </row>
    <row r="105" spans="1:6" hidden="1" x14ac:dyDescent="0.25">
      <c r="A105" s="1" t="s">
        <v>990</v>
      </c>
      <c r="B105" s="1" t="s">
        <v>400</v>
      </c>
      <c r="C105" s="2">
        <v>43190</v>
      </c>
      <c r="D105" s="3">
        <v>0</v>
      </c>
      <c r="E105" s="3">
        <v>0</v>
      </c>
      <c r="F105" s="3">
        <v>0</v>
      </c>
    </row>
    <row r="106" spans="1:6" hidden="1" x14ac:dyDescent="0.25">
      <c r="A106" s="1" t="s">
        <v>991</v>
      </c>
      <c r="B106" s="1" t="s">
        <v>241</v>
      </c>
      <c r="C106" s="2">
        <v>43190</v>
      </c>
      <c r="D106" s="3">
        <v>-1428501</v>
      </c>
      <c r="E106" s="3">
        <v>0</v>
      </c>
      <c r="F106" s="3">
        <v>-1428501</v>
      </c>
    </row>
    <row r="107" spans="1:6" hidden="1" x14ac:dyDescent="0.25">
      <c r="A107" s="1" t="s">
        <v>992</v>
      </c>
      <c r="B107" s="1" t="s">
        <v>259</v>
      </c>
      <c r="C107" s="2">
        <v>43190</v>
      </c>
      <c r="D107" s="3">
        <v>1286931</v>
      </c>
      <c r="E107" s="3">
        <v>0</v>
      </c>
      <c r="F107" s="3">
        <v>1286931</v>
      </c>
    </row>
    <row r="108" spans="1:6" hidden="1" x14ac:dyDescent="0.25">
      <c r="A108" s="1" t="s">
        <v>993</v>
      </c>
      <c r="B108" s="1" t="s">
        <v>259</v>
      </c>
      <c r="C108" s="2">
        <v>43190</v>
      </c>
      <c r="D108" s="3">
        <v>0</v>
      </c>
      <c r="E108" s="3">
        <v>0</v>
      </c>
      <c r="F108" s="3">
        <v>0</v>
      </c>
    </row>
    <row r="109" spans="1:6" hidden="1" x14ac:dyDescent="0.25">
      <c r="A109" s="1" t="s">
        <v>994</v>
      </c>
      <c r="B109" s="1" t="s">
        <v>259</v>
      </c>
      <c r="C109" s="2">
        <v>43190</v>
      </c>
      <c r="D109" s="3">
        <v>0</v>
      </c>
      <c r="E109" s="3">
        <v>0</v>
      </c>
      <c r="F109" s="3">
        <v>0</v>
      </c>
    </row>
    <row r="110" spans="1:6" hidden="1" x14ac:dyDescent="0.25">
      <c r="A110" s="1" t="s">
        <v>995</v>
      </c>
      <c r="B110" s="1" t="s">
        <v>259</v>
      </c>
      <c r="C110" s="2">
        <v>43190</v>
      </c>
      <c r="D110" s="3">
        <v>0</v>
      </c>
      <c r="E110" s="3">
        <v>0</v>
      </c>
      <c r="F110" s="3">
        <v>0</v>
      </c>
    </row>
    <row r="111" spans="1:6" hidden="1" x14ac:dyDescent="0.25">
      <c r="A111" s="1" t="s">
        <v>996</v>
      </c>
      <c r="B111" s="1" t="s">
        <v>259</v>
      </c>
      <c r="C111" s="2">
        <v>43190</v>
      </c>
      <c r="D111" s="3">
        <v>-153136.99999999994</v>
      </c>
      <c r="E111" s="3">
        <v>0</v>
      </c>
      <c r="F111" s="3">
        <v>-153136.99999999994</v>
      </c>
    </row>
    <row r="112" spans="1:6" hidden="1" x14ac:dyDescent="0.25">
      <c r="A112" s="1" t="s">
        <v>997</v>
      </c>
      <c r="B112" s="1" t="s">
        <v>259</v>
      </c>
      <c r="C112" s="2">
        <v>43190</v>
      </c>
      <c r="D112" s="3">
        <v>0</v>
      </c>
      <c r="E112" s="3">
        <v>0</v>
      </c>
      <c r="F112" s="3">
        <v>0</v>
      </c>
    </row>
    <row r="113" spans="1:6" hidden="1" x14ac:dyDescent="0.25">
      <c r="A113" s="1" t="s">
        <v>998</v>
      </c>
      <c r="B113" s="1" t="s">
        <v>259</v>
      </c>
      <c r="C113" s="2">
        <v>43190</v>
      </c>
      <c r="D113" s="3">
        <v>169730</v>
      </c>
      <c r="E113" s="3">
        <v>0</v>
      </c>
      <c r="F113" s="3">
        <v>169730</v>
      </c>
    </row>
    <row r="114" spans="1:6" hidden="1" x14ac:dyDescent="0.25">
      <c r="A114" s="1" t="s">
        <v>999</v>
      </c>
      <c r="B114" s="1" t="s">
        <v>241</v>
      </c>
      <c r="C114" s="2">
        <v>43190</v>
      </c>
      <c r="D114" s="3">
        <v>93055</v>
      </c>
      <c r="E114" s="3">
        <v>0</v>
      </c>
      <c r="F114" s="3">
        <v>93055</v>
      </c>
    </row>
    <row r="115" spans="1:6" hidden="1" x14ac:dyDescent="0.25">
      <c r="A115" s="1" t="s">
        <v>1000</v>
      </c>
      <c r="B115" s="1" t="s">
        <v>241</v>
      </c>
      <c r="C115" s="2">
        <v>43190</v>
      </c>
      <c r="D115" s="3">
        <v>0</v>
      </c>
      <c r="E115" s="3">
        <v>0</v>
      </c>
      <c r="F115" s="3">
        <v>0</v>
      </c>
    </row>
    <row r="116" spans="1:6" hidden="1" x14ac:dyDescent="0.25">
      <c r="A116" s="1" t="s">
        <v>1001</v>
      </c>
      <c r="B116" s="1" t="s">
        <v>241</v>
      </c>
      <c r="C116" s="2">
        <v>43190</v>
      </c>
      <c r="D116" s="3">
        <v>-90944</v>
      </c>
      <c r="E116" s="3">
        <v>0</v>
      </c>
      <c r="F116" s="3">
        <v>-90944</v>
      </c>
    </row>
    <row r="117" spans="1:6" hidden="1" x14ac:dyDescent="0.25">
      <c r="A117" s="1" t="s">
        <v>1002</v>
      </c>
      <c r="B117" s="1" t="s">
        <v>241</v>
      </c>
      <c r="C117" s="2">
        <v>43190</v>
      </c>
      <c r="D117" s="3">
        <v>0</v>
      </c>
      <c r="E117" s="3">
        <v>0</v>
      </c>
      <c r="F117" s="3">
        <v>0</v>
      </c>
    </row>
    <row r="118" spans="1:6" hidden="1" x14ac:dyDescent="0.25">
      <c r="A118" s="1" t="s">
        <v>1003</v>
      </c>
      <c r="B118" s="1" t="s">
        <v>241</v>
      </c>
      <c r="C118" s="2">
        <v>43190</v>
      </c>
      <c r="D118" s="3">
        <v>0</v>
      </c>
      <c r="E118" s="3">
        <v>0</v>
      </c>
      <c r="F118" s="3">
        <v>0</v>
      </c>
    </row>
    <row r="119" spans="1:6" hidden="1" x14ac:dyDescent="0.25">
      <c r="A119" s="1" t="s">
        <v>1004</v>
      </c>
      <c r="B119" s="1" t="s">
        <v>241</v>
      </c>
      <c r="C119" s="2">
        <v>43190</v>
      </c>
      <c r="D119" s="3">
        <v>-192740</v>
      </c>
      <c r="E119" s="3">
        <v>0</v>
      </c>
      <c r="F119" s="3">
        <v>-192740</v>
      </c>
    </row>
    <row r="120" spans="1:6" hidden="1" x14ac:dyDescent="0.25">
      <c r="A120" s="1" t="s">
        <v>1005</v>
      </c>
      <c r="B120" s="1" t="s">
        <v>241</v>
      </c>
      <c r="C120" s="2">
        <v>43190</v>
      </c>
      <c r="D120" s="3">
        <v>0</v>
      </c>
      <c r="E120" s="3">
        <v>0</v>
      </c>
      <c r="F120" s="3">
        <v>0</v>
      </c>
    </row>
    <row r="121" spans="1:6" hidden="1" x14ac:dyDescent="0.25">
      <c r="A121" s="1" t="s">
        <v>1006</v>
      </c>
      <c r="B121" s="1" t="s">
        <v>399</v>
      </c>
      <c r="C121" s="2">
        <v>43190</v>
      </c>
      <c r="D121" s="3">
        <v>-954864</v>
      </c>
      <c r="E121" s="3">
        <v>0</v>
      </c>
      <c r="F121" s="3">
        <v>-954864</v>
      </c>
    </row>
    <row r="122" spans="1:6" hidden="1" x14ac:dyDescent="0.25">
      <c r="A122" s="1" t="s">
        <v>1007</v>
      </c>
      <c r="B122" s="1" t="s">
        <v>399</v>
      </c>
      <c r="C122" s="2">
        <v>43190</v>
      </c>
      <c r="D122" s="3">
        <v>-172905</v>
      </c>
      <c r="E122" s="3">
        <v>0</v>
      </c>
      <c r="F122" s="3">
        <v>-172905</v>
      </c>
    </row>
    <row r="123" spans="1:6" hidden="1" x14ac:dyDescent="0.25">
      <c r="A123" s="1" t="s">
        <v>1008</v>
      </c>
      <c r="B123" s="1" t="s">
        <v>399</v>
      </c>
      <c r="C123" s="2">
        <v>43190</v>
      </c>
      <c r="D123" s="3">
        <v>-349137</v>
      </c>
      <c r="E123" s="3">
        <v>0</v>
      </c>
      <c r="F123" s="3">
        <v>-349137</v>
      </c>
    </row>
    <row r="124" spans="1:6" hidden="1" x14ac:dyDescent="0.25">
      <c r="A124" s="1" t="s">
        <v>1009</v>
      </c>
      <c r="B124" s="1" t="s">
        <v>399</v>
      </c>
      <c r="C124" s="2">
        <v>43190</v>
      </c>
      <c r="D124" s="3">
        <v>0</v>
      </c>
      <c r="E124" s="3">
        <v>0</v>
      </c>
      <c r="F124" s="3">
        <v>0</v>
      </c>
    </row>
    <row r="125" spans="1:6" hidden="1" x14ac:dyDescent="0.25">
      <c r="A125" s="1" t="s">
        <v>1010</v>
      </c>
      <c r="B125" s="1" t="s">
        <v>241</v>
      </c>
      <c r="C125" s="2">
        <v>43190</v>
      </c>
      <c r="D125" s="3">
        <v>0</v>
      </c>
      <c r="E125" s="3">
        <v>0</v>
      </c>
      <c r="F125" s="3">
        <v>0</v>
      </c>
    </row>
    <row r="126" spans="1:6" hidden="1" x14ac:dyDescent="0.25">
      <c r="A126" s="1" t="s">
        <v>1011</v>
      </c>
      <c r="B126" s="1" t="s">
        <v>241</v>
      </c>
      <c r="C126" s="2">
        <v>43190</v>
      </c>
      <c r="D126" s="3">
        <v>0</v>
      </c>
      <c r="E126" s="3">
        <v>0</v>
      </c>
      <c r="F126" s="3">
        <v>0</v>
      </c>
    </row>
    <row r="127" spans="1:6" hidden="1" x14ac:dyDescent="0.25">
      <c r="A127" s="1" t="s">
        <v>1012</v>
      </c>
      <c r="B127" s="1" t="s">
        <v>259</v>
      </c>
      <c r="C127" s="2">
        <v>43190</v>
      </c>
      <c r="D127" s="3">
        <v>1690256</v>
      </c>
      <c r="E127" s="3">
        <v>0</v>
      </c>
      <c r="F127" s="3">
        <v>1690256</v>
      </c>
    </row>
    <row r="128" spans="1:6" hidden="1" x14ac:dyDescent="0.25">
      <c r="A128" s="1" t="s">
        <v>1013</v>
      </c>
      <c r="B128" s="1" t="s">
        <v>259</v>
      </c>
      <c r="C128" s="2">
        <v>43190</v>
      </c>
      <c r="D128" s="3">
        <v>-582</v>
      </c>
      <c r="E128" s="3">
        <v>0</v>
      </c>
      <c r="F128" s="3">
        <v>-582</v>
      </c>
    </row>
    <row r="129" spans="1:6" hidden="1" x14ac:dyDescent="0.25">
      <c r="A129" s="1" t="s">
        <v>1014</v>
      </c>
      <c r="B129" s="1" t="s">
        <v>259</v>
      </c>
      <c r="C129" s="2">
        <v>43190</v>
      </c>
      <c r="D129" s="3">
        <v>0</v>
      </c>
      <c r="E129" s="3">
        <v>0</v>
      </c>
      <c r="F129" s="3">
        <v>0</v>
      </c>
    </row>
    <row r="130" spans="1:6" hidden="1" x14ac:dyDescent="0.25">
      <c r="A130" s="1" t="s">
        <v>1015</v>
      </c>
      <c r="B130" s="1" t="s">
        <v>399</v>
      </c>
      <c r="C130" s="2">
        <v>43190</v>
      </c>
      <c r="D130" s="3">
        <v>0</v>
      </c>
      <c r="E130" s="3">
        <v>0</v>
      </c>
      <c r="F130" s="3">
        <v>0</v>
      </c>
    </row>
    <row r="131" spans="1:6" hidden="1" x14ac:dyDescent="0.25">
      <c r="A131" s="1" t="s">
        <v>1016</v>
      </c>
      <c r="B131" s="1" t="s">
        <v>259</v>
      </c>
      <c r="C131" s="2">
        <v>43190</v>
      </c>
      <c r="D131" s="3">
        <v>0</v>
      </c>
      <c r="E131" s="3">
        <v>0</v>
      </c>
      <c r="F131" s="3">
        <v>0</v>
      </c>
    </row>
    <row r="132" spans="1:6" hidden="1" x14ac:dyDescent="0.25">
      <c r="A132" s="1" t="s">
        <v>1017</v>
      </c>
      <c r="B132" s="1" t="s">
        <v>399</v>
      </c>
      <c r="C132" s="2">
        <v>43190</v>
      </c>
      <c r="D132" s="3">
        <v>0</v>
      </c>
      <c r="E132" s="3">
        <v>0</v>
      </c>
      <c r="F132" s="3">
        <v>0</v>
      </c>
    </row>
    <row r="133" spans="1:6" hidden="1" x14ac:dyDescent="0.25">
      <c r="A133" s="1" t="s">
        <v>1018</v>
      </c>
      <c r="B133" s="1" t="s">
        <v>399</v>
      </c>
      <c r="C133" s="2">
        <v>43190</v>
      </c>
      <c r="D133" s="3">
        <v>1</v>
      </c>
      <c r="E133" s="3">
        <v>0</v>
      </c>
      <c r="F133" s="3">
        <v>1</v>
      </c>
    </row>
    <row r="134" spans="1:6" hidden="1" x14ac:dyDescent="0.25">
      <c r="A134" s="1" t="s">
        <v>1019</v>
      </c>
      <c r="B134" s="1" t="s">
        <v>399</v>
      </c>
      <c r="C134" s="2">
        <v>43190</v>
      </c>
      <c r="D134" s="3">
        <v>140644</v>
      </c>
      <c r="E134" s="3">
        <v>0</v>
      </c>
      <c r="F134" s="3">
        <v>140644</v>
      </c>
    </row>
    <row r="135" spans="1:6" hidden="1" x14ac:dyDescent="0.25">
      <c r="A135" s="1" t="s">
        <v>1020</v>
      </c>
      <c r="B135" s="1" t="s">
        <v>241</v>
      </c>
      <c r="C135" s="2">
        <v>43190</v>
      </c>
      <c r="D135" s="3">
        <v>763202</v>
      </c>
      <c r="E135" s="3">
        <v>0</v>
      </c>
      <c r="F135" s="3">
        <v>763202</v>
      </c>
    </row>
    <row r="136" spans="1:6" hidden="1" x14ac:dyDescent="0.25">
      <c r="A136" s="1" t="s">
        <v>1021</v>
      </c>
      <c r="B136" s="1" t="s">
        <v>259</v>
      </c>
      <c r="C136" s="2">
        <v>43190</v>
      </c>
      <c r="D136" s="3">
        <v>1437729</v>
      </c>
      <c r="E136" s="3">
        <v>0</v>
      </c>
      <c r="F136" s="3">
        <v>1437729</v>
      </c>
    </row>
    <row r="137" spans="1:6" hidden="1" x14ac:dyDescent="0.25">
      <c r="A137" s="1" t="s">
        <v>1022</v>
      </c>
      <c r="B137" s="1" t="s">
        <v>937</v>
      </c>
      <c r="C137" s="2">
        <v>43190</v>
      </c>
      <c r="D137" s="3">
        <v>0</v>
      </c>
      <c r="E137" s="3">
        <v>0</v>
      </c>
      <c r="F137" s="3">
        <v>0</v>
      </c>
    </row>
    <row r="138" spans="1:6" hidden="1" x14ac:dyDescent="0.25">
      <c r="A138" s="1" t="s">
        <v>1023</v>
      </c>
      <c r="B138" s="1" t="s">
        <v>937</v>
      </c>
      <c r="C138" s="2">
        <v>43190</v>
      </c>
      <c r="D138" s="3">
        <v>0</v>
      </c>
      <c r="E138" s="3">
        <v>0</v>
      </c>
      <c r="F138" s="3">
        <v>0</v>
      </c>
    </row>
    <row r="139" spans="1:6" hidden="1" x14ac:dyDescent="0.25">
      <c r="A139" s="1" t="s">
        <v>1024</v>
      </c>
      <c r="B139" s="1" t="s">
        <v>935</v>
      </c>
      <c r="C139" s="2">
        <v>43190</v>
      </c>
      <c r="D139" s="3">
        <v>0</v>
      </c>
      <c r="E139" s="3">
        <v>0</v>
      </c>
      <c r="F139" s="3">
        <v>0</v>
      </c>
    </row>
    <row r="140" spans="1:6" hidden="1" x14ac:dyDescent="0.25">
      <c r="A140" s="1" t="s">
        <v>1025</v>
      </c>
      <c r="B140" s="1" t="s">
        <v>935</v>
      </c>
      <c r="C140" s="2">
        <v>43190</v>
      </c>
      <c r="D140" s="3">
        <v>8</v>
      </c>
      <c r="E140" s="3">
        <v>0</v>
      </c>
      <c r="F140" s="3">
        <v>8</v>
      </c>
    </row>
    <row r="141" spans="1:6" hidden="1" x14ac:dyDescent="0.25">
      <c r="A141" s="1" t="s">
        <v>1026</v>
      </c>
      <c r="B141" s="1" t="s">
        <v>935</v>
      </c>
      <c r="C141" s="2">
        <v>43190</v>
      </c>
      <c r="D141" s="3">
        <v>0</v>
      </c>
      <c r="E141" s="3">
        <v>0</v>
      </c>
      <c r="F141" s="3">
        <v>0</v>
      </c>
    </row>
    <row r="142" spans="1:6" hidden="1" x14ac:dyDescent="0.25">
      <c r="A142" s="1" t="s">
        <v>1027</v>
      </c>
      <c r="B142" s="1" t="s">
        <v>935</v>
      </c>
      <c r="C142" s="2">
        <v>43190</v>
      </c>
      <c r="D142" s="3">
        <v>0</v>
      </c>
      <c r="E142" s="3">
        <v>0</v>
      </c>
      <c r="F142" s="3">
        <v>0</v>
      </c>
    </row>
    <row r="143" spans="1:6" hidden="1" x14ac:dyDescent="0.25">
      <c r="A143" s="1" t="s">
        <v>1028</v>
      </c>
      <c r="B143" s="1" t="s">
        <v>935</v>
      </c>
      <c r="C143" s="2">
        <v>43190</v>
      </c>
      <c r="D143" s="3">
        <v>0</v>
      </c>
      <c r="E143" s="3">
        <v>0</v>
      </c>
      <c r="F143" s="3">
        <v>0</v>
      </c>
    </row>
    <row r="144" spans="1:6" hidden="1" x14ac:dyDescent="0.25">
      <c r="A144" s="1" t="s">
        <v>1029</v>
      </c>
      <c r="B144" s="1" t="s">
        <v>937</v>
      </c>
      <c r="C144" s="2">
        <v>43190</v>
      </c>
      <c r="D144" s="3">
        <v>0</v>
      </c>
      <c r="E144" s="3">
        <v>0</v>
      </c>
      <c r="F144" s="3">
        <v>0</v>
      </c>
    </row>
    <row r="145" spans="1:6" hidden="1" x14ac:dyDescent="0.25">
      <c r="A145" s="1" t="s">
        <v>1030</v>
      </c>
      <c r="B145" s="1" t="s">
        <v>937</v>
      </c>
      <c r="C145" s="2">
        <v>43190</v>
      </c>
      <c r="D145" s="3">
        <v>0</v>
      </c>
      <c r="E145" s="3">
        <v>0</v>
      </c>
      <c r="F145" s="3">
        <v>0</v>
      </c>
    </row>
    <row r="146" spans="1:6" hidden="1" x14ac:dyDescent="0.25">
      <c r="A146" s="1" t="s">
        <v>1031</v>
      </c>
      <c r="B146" s="1" t="s">
        <v>937</v>
      </c>
      <c r="C146" s="2">
        <v>43190</v>
      </c>
      <c r="D146" s="3">
        <v>0</v>
      </c>
      <c r="E146" s="3">
        <v>0</v>
      </c>
      <c r="F146" s="3">
        <v>0</v>
      </c>
    </row>
    <row r="147" spans="1:6" hidden="1" x14ac:dyDescent="0.25">
      <c r="A147" s="1" t="s">
        <v>1032</v>
      </c>
      <c r="B147" s="1" t="s">
        <v>937</v>
      </c>
      <c r="C147" s="2">
        <v>43190</v>
      </c>
      <c r="D147" s="3">
        <v>0</v>
      </c>
      <c r="E147" s="3">
        <v>0</v>
      </c>
      <c r="F147" s="3">
        <v>0</v>
      </c>
    </row>
    <row r="148" spans="1:6" hidden="1" x14ac:dyDescent="0.25">
      <c r="A148" s="1" t="s">
        <v>1033</v>
      </c>
      <c r="B148" s="1" t="s">
        <v>909</v>
      </c>
      <c r="C148" s="2">
        <v>43190</v>
      </c>
      <c r="D148" s="3">
        <v>0</v>
      </c>
      <c r="E148" s="3">
        <v>0</v>
      </c>
      <c r="F148" s="3">
        <v>0</v>
      </c>
    </row>
    <row r="149" spans="1:6" hidden="1" x14ac:dyDescent="0.25">
      <c r="A149" s="1" t="s">
        <v>1034</v>
      </c>
      <c r="B149" s="1" t="s">
        <v>911</v>
      </c>
      <c r="C149" s="2">
        <v>43190</v>
      </c>
      <c r="D149" s="3">
        <v>0</v>
      </c>
      <c r="E149" s="3">
        <v>0</v>
      </c>
      <c r="F149" s="3">
        <v>0</v>
      </c>
    </row>
    <row r="150" spans="1:6" hidden="1" x14ac:dyDescent="0.25">
      <c r="A150" s="1" t="s">
        <v>1035</v>
      </c>
      <c r="B150" s="1" t="s">
        <v>913</v>
      </c>
      <c r="C150" s="2">
        <v>43190</v>
      </c>
      <c r="D150" s="3">
        <v>0</v>
      </c>
      <c r="E150" s="3">
        <v>0</v>
      </c>
      <c r="F150" s="3">
        <v>0</v>
      </c>
    </row>
    <row r="151" spans="1:6" hidden="1" x14ac:dyDescent="0.25">
      <c r="A151" s="1" t="s">
        <v>1036</v>
      </c>
      <c r="B151" s="1" t="s">
        <v>935</v>
      </c>
      <c r="C151" s="2">
        <v>43190</v>
      </c>
      <c r="D151" s="3">
        <v>0</v>
      </c>
      <c r="E151" s="3">
        <v>0</v>
      </c>
      <c r="F151" s="3">
        <v>0</v>
      </c>
    </row>
    <row r="152" spans="1:6" hidden="1" x14ac:dyDescent="0.25">
      <c r="A152" s="1" t="s">
        <v>1037</v>
      </c>
      <c r="B152" s="1" t="s">
        <v>935</v>
      </c>
      <c r="C152" s="2">
        <v>43190</v>
      </c>
      <c r="D152" s="3">
        <v>0</v>
      </c>
      <c r="E152" s="3">
        <v>0</v>
      </c>
      <c r="F152" s="3">
        <v>0</v>
      </c>
    </row>
    <row r="153" spans="1:6" hidden="1" x14ac:dyDescent="0.25">
      <c r="A153" s="1" t="s">
        <v>1038</v>
      </c>
      <c r="B153" s="1" t="s">
        <v>923</v>
      </c>
      <c r="C153" s="2">
        <v>43190</v>
      </c>
      <c r="D153" s="3">
        <v>0</v>
      </c>
      <c r="E153" s="3">
        <v>0</v>
      </c>
      <c r="F153" s="3">
        <v>0</v>
      </c>
    </row>
    <row r="154" spans="1:6" hidden="1" x14ac:dyDescent="0.25">
      <c r="A154" s="1" t="s">
        <v>1039</v>
      </c>
      <c r="B154" s="1" t="s">
        <v>923</v>
      </c>
      <c r="C154" s="2">
        <v>43190</v>
      </c>
      <c r="D154" s="3">
        <v>0</v>
      </c>
      <c r="E154" s="3">
        <v>0</v>
      </c>
      <c r="F154" s="3">
        <v>0</v>
      </c>
    </row>
    <row r="155" spans="1:6" hidden="1" x14ac:dyDescent="0.25">
      <c r="A155" s="1" t="s">
        <v>1040</v>
      </c>
      <c r="B155" s="1" t="s">
        <v>923</v>
      </c>
      <c r="C155" s="2">
        <v>43190</v>
      </c>
      <c r="D155" s="3">
        <v>0</v>
      </c>
      <c r="E155" s="3">
        <v>0</v>
      </c>
      <c r="F155" s="3">
        <v>0</v>
      </c>
    </row>
    <row r="156" spans="1:6" hidden="1" x14ac:dyDescent="0.25">
      <c r="A156" s="1" t="s">
        <v>1041</v>
      </c>
      <c r="B156" s="1" t="s">
        <v>923</v>
      </c>
      <c r="C156" s="2">
        <v>43190</v>
      </c>
      <c r="D156" s="3">
        <v>0</v>
      </c>
      <c r="E156" s="3">
        <v>0</v>
      </c>
      <c r="F156" s="3">
        <v>0</v>
      </c>
    </row>
    <row r="157" spans="1:6" hidden="1" x14ac:dyDescent="0.25">
      <c r="A157" s="1" t="s">
        <v>1042</v>
      </c>
      <c r="B157" s="1" t="s">
        <v>921</v>
      </c>
      <c r="C157" s="2">
        <v>43190</v>
      </c>
      <c r="D157" s="3">
        <v>0</v>
      </c>
      <c r="E157" s="3">
        <v>0</v>
      </c>
      <c r="F157" s="3">
        <v>0</v>
      </c>
    </row>
    <row r="158" spans="1:6" hidden="1" x14ac:dyDescent="0.25">
      <c r="A158" s="1" t="s">
        <v>1043</v>
      </c>
      <c r="B158" s="1" t="s">
        <v>921</v>
      </c>
      <c r="C158" s="2">
        <v>43190</v>
      </c>
      <c r="D158" s="3">
        <v>0</v>
      </c>
      <c r="E158" s="3">
        <v>0</v>
      </c>
      <c r="F158" s="3">
        <v>0</v>
      </c>
    </row>
    <row r="159" spans="1:6" hidden="1" x14ac:dyDescent="0.25">
      <c r="A159" s="1" t="s">
        <v>1044</v>
      </c>
      <c r="B159" s="1" t="s">
        <v>921</v>
      </c>
      <c r="C159" s="2">
        <v>43190</v>
      </c>
      <c r="D159" s="3">
        <v>0</v>
      </c>
      <c r="E159" s="3">
        <v>0</v>
      </c>
      <c r="F159" s="3">
        <v>0</v>
      </c>
    </row>
    <row r="160" spans="1:6" hidden="1" x14ac:dyDescent="0.25">
      <c r="A160" s="1" t="s">
        <v>1045</v>
      </c>
      <c r="B160" s="1" t="s">
        <v>921</v>
      </c>
      <c r="C160" s="2">
        <v>43190</v>
      </c>
      <c r="D160" s="3">
        <v>0</v>
      </c>
      <c r="E160" s="3">
        <v>0</v>
      </c>
      <c r="F160" s="3">
        <v>0</v>
      </c>
    </row>
    <row r="161" spans="1:6" hidden="1" x14ac:dyDescent="0.25">
      <c r="A161" s="1" t="s">
        <v>1046</v>
      </c>
      <c r="B161" s="1" t="s">
        <v>921</v>
      </c>
      <c r="C161" s="2">
        <v>43190</v>
      </c>
      <c r="D161" s="3">
        <v>74109</v>
      </c>
      <c r="E161" s="3">
        <v>0</v>
      </c>
      <c r="F161" s="3">
        <v>74109</v>
      </c>
    </row>
    <row r="162" spans="1:6" hidden="1" x14ac:dyDescent="0.25">
      <c r="A162" s="1" t="s">
        <v>1047</v>
      </c>
      <c r="B162" s="1" t="s">
        <v>921</v>
      </c>
      <c r="C162" s="2">
        <v>43190</v>
      </c>
      <c r="D162" s="3">
        <v>0</v>
      </c>
      <c r="E162" s="3">
        <v>0</v>
      </c>
      <c r="F162" s="3">
        <v>0</v>
      </c>
    </row>
    <row r="163" spans="1:6" hidden="1" x14ac:dyDescent="0.25">
      <c r="A163" s="1" t="s">
        <v>1048</v>
      </c>
      <c r="B163" s="1" t="s">
        <v>921</v>
      </c>
      <c r="C163" s="2">
        <v>43190</v>
      </c>
      <c r="D163" s="3">
        <v>0</v>
      </c>
      <c r="E163" s="3">
        <v>0</v>
      </c>
      <c r="F163" s="3">
        <v>0</v>
      </c>
    </row>
    <row r="164" spans="1:6" hidden="1" x14ac:dyDescent="0.25">
      <c r="A164" s="1" t="s">
        <v>1049</v>
      </c>
      <c r="B164" s="1" t="s">
        <v>923</v>
      </c>
      <c r="C164" s="2">
        <v>43190</v>
      </c>
      <c r="D164" s="3">
        <v>0</v>
      </c>
      <c r="E164" s="3">
        <v>0</v>
      </c>
      <c r="F164" s="3">
        <v>0</v>
      </c>
    </row>
    <row r="165" spans="1:6" hidden="1" x14ac:dyDescent="0.25">
      <c r="A165" s="1" t="s">
        <v>1050</v>
      </c>
      <c r="B165" s="1" t="s">
        <v>923</v>
      </c>
      <c r="C165" s="2">
        <v>43190</v>
      </c>
      <c r="D165" s="3">
        <v>0</v>
      </c>
      <c r="E165" s="3">
        <v>0</v>
      </c>
      <c r="F165" s="3">
        <v>0</v>
      </c>
    </row>
    <row r="166" spans="1:6" hidden="1" x14ac:dyDescent="0.25">
      <c r="A166" s="1" t="s">
        <v>1051</v>
      </c>
      <c r="B166" s="1" t="s">
        <v>923</v>
      </c>
      <c r="C166" s="2">
        <v>43190</v>
      </c>
      <c r="D166" s="3">
        <v>0</v>
      </c>
      <c r="E166" s="3">
        <v>0</v>
      </c>
      <c r="F166" s="3">
        <v>0</v>
      </c>
    </row>
    <row r="167" spans="1:6" hidden="1" x14ac:dyDescent="0.25">
      <c r="A167" s="1" t="s">
        <v>1052</v>
      </c>
      <c r="B167" s="1" t="s">
        <v>240</v>
      </c>
      <c r="C167" s="2">
        <v>43190</v>
      </c>
      <c r="D167" s="3">
        <v>0</v>
      </c>
      <c r="E167" s="3">
        <v>0</v>
      </c>
      <c r="F167" s="3">
        <v>0</v>
      </c>
    </row>
    <row r="168" spans="1:6" hidden="1" x14ac:dyDescent="0.25">
      <c r="A168" s="1" t="s">
        <v>1053</v>
      </c>
      <c r="B168" s="1" t="s">
        <v>253</v>
      </c>
      <c r="C168" s="2">
        <v>43190</v>
      </c>
      <c r="D168" s="3">
        <v>76178</v>
      </c>
      <c r="E168" s="3">
        <v>0</v>
      </c>
      <c r="F168" s="3">
        <v>76178</v>
      </c>
    </row>
    <row r="169" spans="1:6" hidden="1" x14ac:dyDescent="0.25">
      <c r="A169" s="1" t="s">
        <v>1054</v>
      </c>
      <c r="B169" s="1" t="s">
        <v>240</v>
      </c>
      <c r="C169" s="2">
        <v>43190</v>
      </c>
      <c r="D169" s="3">
        <v>669</v>
      </c>
      <c r="E169" s="3">
        <v>0</v>
      </c>
      <c r="F169" s="3">
        <v>669</v>
      </c>
    </row>
    <row r="170" spans="1:6" hidden="1" x14ac:dyDescent="0.25">
      <c r="A170" s="1" t="s">
        <v>1055</v>
      </c>
      <c r="B170" s="1" t="s">
        <v>253</v>
      </c>
      <c r="C170" s="2">
        <v>43190</v>
      </c>
      <c r="D170" s="3">
        <v>0</v>
      </c>
      <c r="E170" s="3">
        <v>0</v>
      </c>
      <c r="F170" s="3">
        <v>0</v>
      </c>
    </row>
    <row r="171" spans="1:6" hidden="1" x14ac:dyDescent="0.25">
      <c r="A171" s="1" t="s">
        <v>1056</v>
      </c>
      <c r="B171" s="1" t="s">
        <v>240</v>
      </c>
      <c r="C171" s="2">
        <v>43190</v>
      </c>
      <c r="D171" s="3">
        <v>841926</v>
      </c>
      <c r="E171" s="3">
        <v>-5222</v>
      </c>
      <c r="F171" s="3">
        <v>836704</v>
      </c>
    </row>
    <row r="172" spans="1:6" hidden="1" x14ac:dyDescent="0.25">
      <c r="A172" s="1" t="s">
        <v>1057</v>
      </c>
      <c r="B172" s="1" t="s">
        <v>240</v>
      </c>
      <c r="C172" s="2">
        <v>43190</v>
      </c>
      <c r="D172" s="3">
        <v>480</v>
      </c>
      <c r="E172" s="3">
        <v>0</v>
      </c>
      <c r="F172" s="3">
        <v>480</v>
      </c>
    </row>
    <row r="173" spans="1:6" hidden="1" x14ac:dyDescent="0.25">
      <c r="A173" s="1" t="s">
        <v>1058</v>
      </c>
      <c r="B173" s="1" t="s">
        <v>400</v>
      </c>
      <c r="C173" s="2">
        <v>43190</v>
      </c>
      <c r="D173" s="3">
        <v>814</v>
      </c>
      <c r="E173" s="3">
        <v>0</v>
      </c>
      <c r="F173" s="3">
        <v>814</v>
      </c>
    </row>
    <row r="174" spans="1:6" hidden="1" x14ac:dyDescent="0.25">
      <c r="A174" s="1" t="s">
        <v>1059</v>
      </c>
      <c r="B174" s="1" t="s">
        <v>240</v>
      </c>
      <c r="C174" s="2">
        <v>43190</v>
      </c>
      <c r="D174" s="3">
        <v>0</v>
      </c>
      <c r="E174" s="3">
        <v>0</v>
      </c>
      <c r="F174" s="3">
        <v>0</v>
      </c>
    </row>
    <row r="175" spans="1:6" hidden="1" x14ac:dyDescent="0.25">
      <c r="A175" s="1" t="s">
        <v>1060</v>
      </c>
      <c r="B175" s="1" t="s">
        <v>241</v>
      </c>
      <c r="C175" s="2">
        <v>43190</v>
      </c>
      <c r="D175" s="3">
        <v>41345</v>
      </c>
      <c r="E175" s="3">
        <v>0</v>
      </c>
      <c r="F175" s="3">
        <v>41345</v>
      </c>
    </row>
    <row r="176" spans="1:6" hidden="1" x14ac:dyDescent="0.25">
      <c r="A176" s="1" t="s">
        <v>1061</v>
      </c>
      <c r="B176" s="1" t="s">
        <v>259</v>
      </c>
      <c r="C176" s="2">
        <v>43190</v>
      </c>
      <c r="D176" s="3">
        <v>33798</v>
      </c>
      <c r="E176" s="3">
        <v>0</v>
      </c>
      <c r="F176" s="3">
        <v>33798</v>
      </c>
    </row>
    <row r="177" spans="1:6" hidden="1" x14ac:dyDescent="0.25">
      <c r="A177" s="1" t="s">
        <v>1062</v>
      </c>
      <c r="B177" s="1" t="s">
        <v>399</v>
      </c>
      <c r="C177" s="2">
        <v>43190</v>
      </c>
      <c r="D177" s="3">
        <v>37558</v>
      </c>
      <c r="E177" s="3">
        <v>0</v>
      </c>
      <c r="F177" s="3">
        <v>37558</v>
      </c>
    </row>
    <row r="178" spans="1:6" hidden="1" x14ac:dyDescent="0.25">
      <c r="A178" s="1" t="s">
        <v>1063</v>
      </c>
      <c r="B178" s="1" t="s">
        <v>267</v>
      </c>
      <c r="C178" s="2">
        <v>43190</v>
      </c>
      <c r="D178" s="3">
        <v>-266872</v>
      </c>
      <c r="E178" s="3">
        <v>0</v>
      </c>
      <c r="F178" s="3">
        <v>-266872</v>
      </c>
    </row>
    <row r="179" spans="1:6" hidden="1" x14ac:dyDescent="0.25">
      <c r="A179" s="1" t="s">
        <v>1064</v>
      </c>
      <c r="B179" s="1" t="s">
        <v>267</v>
      </c>
      <c r="C179" s="2">
        <v>43190</v>
      </c>
      <c r="D179" s="3">
        <v>2341</v>
      </c>
      <c r="E179" s="3">
        <v>0</v>
      </c>
      <c r="F179" s="3">
        <v>2341</v>
      </c>
    </row>
    <row r="180" spans="1:6" hidden="1" x14ac:dyDescent="0.25">
      <c r="A180" s="1" t="s">
        <v>1065</v>
      </c>
      <c r="B180" s="1" t="s">
        <v>240</v>
      </c>
      <c r="C180" s="2">
        <v>43190</v>
      </c>
      <c r="D180" s="3">
        <v>0</v>
      </c>
      <c r="E180" s="3">
        <v>0</v>
      </c>
      <c r="F180" s="3">
        <v>0</v>
      </c>
    </row>
    <row r="181" spans="1:6" hidden="1" x14ac:dyDescent="0.25">
      <c r="A181" s="1" t="s">
        <v>1066</v>
      </c>
      <c r="B181" s="1" t="s">
        <v>241</v>
      </c>
      <c r="C181" s="2">
        <v>43190</v>
      </c>
      <c r="D181" s="3">
        <v>-216047</v>
      </c>
      <c r="E181" s="3">
        <v>0</v>
      </c>
      <c r="F181" s="3">
        <v>-216047</v>
      </c>
    </row>
    <row r="182" spans="1:6" hidden="1" x14ac:dyDescent="0.25">
      <c r="A182" s="1" t="s">
        <v>1067</v>
      </c>
      <c r="B182" s="1" t="s">
        <v>241</v>
      </c>
      <c r="C182" s="2">
        <v>43190</v>
      </c>
      <c r="D182" s="3">
        <v>546945</v>
      </c>
      <c r="E182" s="3">
        <v>0</v>
      </c>
      <c r="F182" s="3">
        <v>546945</v>
      </c>
    </row>
    <row r="183" spans="1:6" hidden="1" x14ac:dyDescent="0.25">
      <c r="A183" s="1" t="s">
        <v>1068</v>
      </c>
      <c r="B183" s="1" t="s">
        <v>259</v>
      </c>
      <c r="C183" s="2">
        <v>43190</v>
      </c>
      <c r="D183" s="3">
        <v>169621</v>
      </c>
      <c r="E183" s="3">
        <v>0</v>
      </c>
      <c r="F183" s="3">
        <v>169621</v>
      </c>
    </row>
    <row r="184" spans="1:6" hidden="1" x14ac:dyDescent="0.25">
      <c r="A184" s="1" t="s">
        <v>1069</v>
      </c>
      <c r="B184" s="1" t="s">
        <v>240</v>
      </c>
      <c r="C184" s="2">
        <v>43190</v>
      </c>
      <c r="D184" s="3">
        <v>0</v>
      </c>
      <c r="E184" s="3">
        <v>0</v>
      </c>
      <c r="F184" s="3">
        <v>0</v>
      </c>
    </row>
    <row r="185" spans="1:6" hidden="1" x14ac:dyDescent="0.25">
      <c r="A185" s="1" t="s">
        <v>1070</v>
      </c>
      <c r="B185" s="1" t="s">
        <v>240</v>
      </c>
      <c r="C185" s="2">
        <v>43190</v>
      </c>
      <c r="D185" s="3">
        <v>0</v>
      </c>
      <c r="E185" s="3">
        <v>0</v>
      </c>
      <c r="F185" s="3">
        <v>0</v>
      </c>
    </row>
    <row r="186" spans="1:6" hidden="1" x14ac:dyDescent="0.25">
      <c r="A186" s="1" t="s">
        <v>1071</v>
      </c>
      <c r="B186" s="1" t="s">
        <v>259</v>
      </c>
      <c r="C186" s="2">
        <v>43190</v>
      </c>
      <c r="D186" s="3">
        <v>195143</v>
      </c>
      <c r="E186" s="3">
        <v>0</v>
      </c>
      <c r="F186" s="3">
        <v>195143</v>
      </c>
    </row>
    <row r="187" spans="1:6" hidden="1" x14ac:dyDescent="0.25">
      <c r="A187" s="1" t="s">
        <v>1072</v>
      </c>
      <c r="B187" s="1" t="s">
        <v>241</v>
      </c>
      <c r="C187" s="2">
        <v>43190</v>
      </c>
      <c r="D187" s="3">
        <v>15214</v>
      </c>
      <c r="E187" s="3">
        <v>0</v>
      </c>
      <c r="F187" s="3">
        <v>15214</v>
      </c>
    </row>
    <row r="188" spans="1:6" hidden="1" x14ac:dyDescent="0.25">
      <c r="A188" s="1" t="s">
        <v>1073</v>
      </c>
      <c r="B188" s="1" t="s">
        <v>399</v>
      </c>
      <c r="C188" s="2">
        <v>43190</v>
      </c>
      <c r="D188" s="3">
        <v>422637</v>
      </c>
      <c r="E188" s="3">
        <v>0</v>
      </c>
      <c r="F188" s="3">
        <v>422637</v>
      </c>
    </row>
    <row r="189" spans="1:6" hidden="1" x14ac:dyDescent="0.25">
      <c r="A189" s="1" t="s">
        <v>1074</v>
      </c>
      <c r="B189" s="1" t="s">
        <v>240</v>
      </c>
      <c r="C189" s="2">
        <v>43190</v>
      </c>
      <c r="D189" s="3">
        <v>-935</v>
      </c>
      <c r="E189" s="3">
        <v>0</v>
      </c>
      <c r="F189" s="3">
        <v>-935</v>
      </c>
    </row>
    <row r="190" spans="1:6" hidden="1" x14ac:dyDescent="0.25">
      <c r="A190" s="1" t="s">
        <v>1075</v>
      </c>
      <c r="B190" s="1" t="s">
        <v>240</v>
      </c>
      <c r="C190" s="2">
        <v>43190</v>
      </c>
      <c r="D190" s="3">
        <v>0</v>
      </c>
      <c r="E190" s="3">
        <v>0</v>
      </c>
      <c r="F190" s="3">
        <v>0</v>
      </c>
    </row>
    <row r="191" spans="1:6" hidden="1" x14ac:dyDescent="0.25">
      <c r="A191" s="1" t="s">
        <v>1076</v>
      </c>
      <c r="B191" s="1" t="s">
        <v>240</v>
      </c>
      <c r="C191" s="2">
        <v>43190</v>
      </c>
      <c r="D191" s="3">
        <v>0</v>
      </c>
      <c r="E191" s="3">
        <v>0</v>
      </c>
      <c r="F191" s="3">
        <v>0</v>
      </c>
    </row>
    <row r="192" spans="1:6" hidden="1" x14ac:dyDescent="0.25">
      <c r="A192" s="1" t="s">
        <v>1077</v>
      </c>
      <c r="B192" s="1" t="s">
        <v>240</v>
      </c>
      <c r="C192" s="2">
        <v>43190</v>
      </c>
      <c r="D192" s="3">
        <v>-227415</v>
      </c>
      <c r="E192" s="3">
        <v>0</v>
      </c>
      <c r="F192" s="3">
        <v>-227415</v>
      </c>
    </row>
    <row r="193" spans="1:6" hidden="1" x14ac:dyDescent="0.25">
      <c r="A193" s="1" t="s">
        <v>1078</v>
      </c>
      <c r="B193" s="1" t="s">
        <v>240</v>
      </c>
      <c r="C193" s="2">
        <v>43190</v>
      </c>
      <c r="D193" s="3">
        <v>15.000000000058208</v>
      </c>
      <c r="E193" s="3">
        <v>0</v>
      </c>
      <c r="F193" s="3">
        <v>15.000000000058208</v>
      </c>
    </row>
    <row r="194" spans="1:6" hidden="1" x14ac:dyDescent="0.25">
      <c r="A194" s="1" t="s">
        <v>1079</v>
      </c>
      <c r="B194" s="1" t="s">
        <v>240</v>
      </c>
      <c r="C194" s="2">
        <v>43190</v>
      </c>
      <c r="D194" s="3">
        <v>-10852</v>
      </c>
      <c r="E194" s="3">
        <v>0</v>
      </c>
      <c r="F194" s="3">
        <v>-10852</v>
      </c>
    </row>
    <row r="195" spans="1:6" hidden="1" x14ac:dyDescent="0.25">
      <c r="A195" s="1" t="s">
        <v>1080</v>
      </c>
      <c r="B195" s="1" t="s">
        <v>240</v>
      </c>
      <c r="C195" s="2">
        <v>43190</v>
      </c>
      <c r="D195" s="3">
        <v>0</v>
      </c>
      <c r="E195" s="3">
        <v>0</v>
      </c>
      <c r="F195" s="3">
        <v>0</v>
      </c>
    </row>
    <row r="196" spans="1:6" hidden="1" x14ac:dyDescent="0.25">
      <c r="A196" s="1" t="s">
        <v>1081</v>
      </c>
      <c r="B196" s="1" t="s">
        <v>240</v>
      </c>
      <c r="C196" s="2">
        <v>43190</v>
      </c>
      <c r="D196" s="3">
        <v>95145</v>
      </c>
      <c r="E196" s="3">
        <v>0</v>
      </c>
      <c r="F196" s="3">
        <v>95145</v>
      </c>
    </row>
    <row r="197" spans="1:6" hidden="1" x14ac:dyDescent="0.25">
      <c r="A197" s="1" t="s">
        <v>1082</v>
      </c>
      <c r="B197" s="1" t="s">
        <v>259</v>
      </c>
      <c r="C197" s="2">
        <v>43190</v>
      </c>
      <c r="D197" s="3">
        <v>-58670</v>
      </c>
      <c r="E197" s="3">
        <v>0</v>
      </c>
      <c r="F197" s="3">
        <v>-58670</v>
      </c>
    </row>
    <row r="198" spans="1:6" hidden="1" x14ac:dyDescent="0.25">
      <c r="A198" s="1" t="s">
        <v>1083</v>
      </c>
      <c r="B198" s="1" t="s">
        <v>241</v>
      </c>
      <c r="C198" s="2">
        <v>43190</v>
      </c>
      <c r="D198" s="3">
        <v>-30316</v>
      </c>
      <c r="E198" s="3">
        <v>0</v>
      </c>
      <c r="F198" s="3">
        <v>-30316</v>
      </c>
    </row>
    <row r="199" spans="1:6" hidden="1" x14ac:dyDescent="0.25">
      <c r="A199" s="1" t="s">
        <v>1084</v>
      </c>
      <c r="B199" s="1" t="s">
        <v>399</v>
      </c>
      <c r="C199" s="2">
        <v>43190</v>
      </c>
      <c r="D199" s="3">
        <v>-24406</v>
      </c>
      <c r="E199" s="3">
        <v>0</v>
      </c>
      <c r="F199" s="3">
        <v>-24406</v>
      </c>
    </row>
    <row r="200" spans="1:6" hidden="1" x14ac:dyDescent="0.25">
      <c r="A200" s="1" t="s">
        <v>1085</v>
      </c>
      <c r="B200" s="1" t="s">
        <v>259</v>
      </c>
      <c r="C200" s="2">
        <v>43190</v>
      </c>
      <c r="D200" s="3">
        <v>-98886</v>
      </c>
      <c r="E200" s="3">
        <v>0</v>
      </c>
      <c r="F200" s="3">
        <v>-98886</v>
      </c>
    </row>
    <row r="201" spans="1:6" hidden="1" x14ac:dyDescent="0.25">
      <c r="A201" s="1" t="s">
        <v>1086</v>
      </c>
      <c r="B201" s="1" t="s">
        <v>259</v>
      </c>
      <c r="C201" s="2">
        <v>43190</v>
      </c>
      <c r="D201" s="3">
        <v>0</v>
      </c>
      <c r="E201" s="3">
        <v>0</v>
      </c>
      <c r="F201" s="3">
        <v>0</v>
      </c>
    </row>
    <row r="202" spans="1:6" hidden="1" x14ac:dyDescent="0.25">
      <c r="A202" s="1" t="s">
        <v>1087</v>
      </c>
      <c r="B202" s="1" t="s">
        <v>253</v>
      </c>
      <c r="C202" s="2">
        <v>43190</v>
      </c>
      <c r="D202" s="3">
        <v>0</v>
      </c>
      <c r="E202" s="3">
        <v>0</v>
      </c>
      <c r="F202" s="3">
        <v>0</v>
      </c>
    </row>
    <row r="203" spans="1:6" hidden="1" x14ac:dyDescent="0.25">
      <c r="A203" s="1" t="s">
        <v>1088</v>
      </c>
      <c r="B203" s="1" t="s">
        <v>241</v>
      </c>
      <c r="C203" s="2">
        <v>43190</v>
      </c>
      <c r="D203" s="3">
        <v>0</v>
      </c>
      <c r="E203" s="3">
        <v>0</v>
      </c>
      <c r="F203" s="3">
        <v>0</v>
      </c>
    </row>
    <row r="204" spans="1:6" hidden="1" x14ac:dyDescent="0.25">
      <c r="A204" s="1" t="s">
        <v>1089</v>
      </c>
      <c r="B204" s="1" t="s">
        <v>399</v>
      </c>
      <c r="C204" s="2">
        <v>43190</v>
      </c>
      <c r="D204" s="3">
        <v>0</v>
      </c>
      <c r="E204" s="3">
        <v>0</v>
      </c>
      <c r="F204" s="3">
        <v>0</v>
      </c>
    </row>
    <row r="205" spans="1:6" hidden="1" x14ac:dyDescent="0.25">
      <c r="A205" s="1" t="s">
        <v>1090</v>
      </c>
      <c r="B205" s="1" t="s">
        <v>267</v>
      </c>
      <c r="C205" s="2">
        <v>43190</v>
      </c>
      <c r="D205" s="3">
        <v>0</v>
      </c>
      <c r="E205" s="3">
        <v>0</v>
      </c>
      <c r="F205" s="3">
        <v>0</v>
      </c>
    </row>
    <row r="206" spans="1:6" hidden="1" x14ac:dyDescent="0.25">
      <c r="A206" s="1" t="s">
        <v>1091</v>
      </c>
      <c r="B206" s="1" t="s">
        <v>400</v>
      </c>
      <c r="C206" s="2">
        <v>43190</v>
      </c>
      <c r="D206" s="3">
        <v>0</v>
      </c>
      <c r="E206" s="3">
        <v>0</v>
      </c>
      <c r="F206" s="3">
        <v>0</v>
      </c>
    </row>
    <row r="207" spans="1:6" hidden="1" x14ac:dyDescent="0.25">
      <c r="A207" s="1" t="s">
        <v>1092</v>
      </c>
      <c r="B207" s="1" t="s">
        <v>259</v>
      </c>
      <c r="C207" s="2">
        <v>43190</v>
      </c>
      <c r="D207" s="3">
        <v>0</v>
      </c>
      <c r="E207" s="3">
        <v>0</v>
      </c>
      <c r="F207" s="3">
        <v>0</v>
      </c>
    </row>
    <row r="208" spans="1:6" hidden="1" x14ac:dyDescent="0.25">
      <c r="A208" s="1" t="s">
        <v>1093</v>
      </c>
      <c r="B208" s="1" t="s">
        <v>1094</v>
      </c>
      <c r="C208" s="2">
        <v>43190</v>
      </c>
      <c r="D208" s="3">
        <v>0</v>
      </c>
      <c r="E208" s="3">
        <v>0</v>
      </c>
      <c r="F208" s="3">
        <v>0</v>
      </c>
    </row>
    <row r="209" spans="1:6" hidden="1" x14ac:dyDescent="0.25">
      <c r="A209" s="1" t="s">
        <v>1095</v>
      </c>
      <c r="B209" s="1" t="s">
        <v>1094</v>
      </c>
      <c r="C209" s="2">
        <v>43190</v>
      </c>
      <c r="D209" s="3">
        <v>0</v>
      </c>
      <c r="E209" s="3">
        <v>0</v>
      </c>
      <c r="F209" s="3">
        <v>0</v>
      </c>
    </row>
    <row r="210" spans="1:6" hidden="1" x14ac:dyDescent="0.25">
      <c r="A210" s="1" t="s">
        <v>1096</v>
      </c>
      <c r="B210" s="1" t="s">
        <v>1094</v>
      </c>
      <c r="C210" s="2">
        <v>43190</v>
      </c>
      <c r="D210" s="3">
        <v>0</v>
      </c>
      <c r="E210" s="3">
        <v>0</v>
      </c>
      <c r="F210" s="3">
        <v>0</v>
      </c>
    </row>
    <row r="211" spans="1:6" hidden="1" x14ac:dyDescent="0.25">
      <c r="A211" s="1" t="s">
        <v>1097</v>
      </c>
      <c r="B211" s="1" t="s">
        <v>259</v>
      </c>
      <c r="C211" s="2">
        <v>43190</v>
      </c>
      <c r="D211" s="3">
        <v>0</v>
      </c>
      <c r="E211" s="3">
        <v>0</v>
      </c>
      <c r="F211" s="3">
        <v>0</v>
      </c>
    </row>
    <row r="212" spans="1:6" hidden="1" x14ac:dyDescent="0.25">
      <c r="A212" s="1" t="s">
        <v>1098</v>
      </c>
      <c r="B212" s="1" t="s">
        <v>259</v>
      </c>
      <c r="C212" s="2">
        <v>43190</v>
      </c>
      <c r="D212" s="3">
        <v>0</v>
      </c>
      <c r="E212" s="3">
        <v>0</v>
      </c>
      <c r="F212" s="3">
        <v>0</v>
      </c>
    </row>
    <row r="213" spans="1:6" hidden="1" x14ac:dyDescent="0.25">
      <c r="A213" s="1" t="s">
        <v>1099</v>
      </c>
      <c r="B213" s="1" t="s">
        <v>259</v>
      </c>
      <c r="C213" s="2">
        <v>43190</v>
      </c>
      <c r="D213" s="3">
        <v>-9251628</v>
      </c>
      <c r="E213" s="3">
        <v>35583</v>
      </c>
      <c r="F213" s="3">
        <v>-9216045</v>
      </c>
    </row>
    <row r="214" spans="1:6" hidden="1" x14ac:dyDescent="0.25">
      <c r="A214" s="1" t="s">
        <v>1100</v>
      </c>
      <c r="B214" s="1" t="s">
        <v>267</v>
      </c>
      <c r="C214" s="2">
        <v>43190</v>
      </c>
      <c r="D214" s="3">
        <v>497</v>
      </c>
      <c r="E214" s="3">
        <v>0</v>
      </c>
      <c r="F214" s="3">
        <v>497</v>
      </c>
    </row>
    <row r="215" spans="1:6" hidden="1" x14ac:dyDescent="0.25">
      <c r="A215" s="1" t="s">
        <v>1101</v>
      </c>
      <c r="B215" s="1" t="s">
        <v>267</v>
      </c>
      <c r="C215" s="2">
        <v>43190</v>
      </c>
      <c r="D215" s="3">
        <v>-498</v>
      </c>
      <c r="E215" s="3">
        <v>0</v>
      </c>
      <c r="F215" s="3">
        <v>-498</v>
      </c>
    </row>
    <row r="216" spans="1:6" hidden="1" x14ac:dyDescent="0.25">
      <c r="A216" s="1" t="s">
        <v>1102</v>
      </c>
      <c r="B216" s="1" t="s">
        <v>1103</v>
      </c>
      <c r="C216" s="2">
        <v>43190</v>
      </c>
      <c r="D216" s="3">
        <v>0</v>
      </c>
      <c r="E216" s="3">
        <v>0</v>
      </c>
      <c r="F216" s="3">
        <v>0</v>
      </c>
    </row>
    <row r="217" spans="1:6" hidden="1" x14ac:dyDescent="0.25">
      <c r="A217" s="1" t="s">
        <v>1104</v>
      </c>
      <c r="B217" s="1" t="s">
        <v>241</v>
      </c>
      <c r="C217" s="2">
        <v>43190</v>
      </c>
      <c r="D217" s="3">
        <v>0</v>
      </c>
      <c r="E217" s="3">
        <v>0</v>
      </c>
      <c r="F217" s="3">
        <v>0</v>
      </c>
    </row>
    <row r="218" spans="1:6" hidden="1" x14ac:dyDescent="0.25">
      <c r="A218" s="1" t="s">
        <v>1105</v>
      </c>
      <c r="B218" s="1" t="s">
        <v>259</v>
      </c>
      <c r="C218" s="2">
        <v>43190</v>
      </c>
      <c r="D218" s="3">
        <v>5.2750692702829838E-11</v>
      </c>
      <c r="E218" s="3">
        <v>0</v>
      </c>
      <c r="F218" s="3">
        <v>5.2750692702829838E-11</v>
      </c>
    </row>
    <row r="219" spans="1:6" hidden="1" x14ac:dyDescent="0.25">
      <c r="A219" s="1" t="s">
        <v>1106</v>
      </c>
      <c r="B219" s="1" t="s">
        <v>241</v>
      </c>
      <c r="C219" s="2">
        <v>43190</v>
      </c>
      <c r="D219" s="3">
        <v>1</v>
      </c>
      <c r="E219" s="3">
        <v>0</v>
      </c>
      <c r="F219" s="3">
        <v>1</v>
      </c>
    </row>
    <row r="220" spans="1:6" hidden="1" x14ac:dyDescent="0.25">
      <c r="A220" s="1" t="s">
        <v>1107</v>
      </c>
      <c r="B220" s="1" t="s">
        <v>253</v>
      </c>
      <c r="C220" s="2">
        <v>43190</v>
      </c>
      <c r="D220" s="3">
        <v>0</v>
      </c>
      <c r="E220" s="3">
        <v>0</v>
      </c>
      <c r="F220" s="3">
        <v>0</v>
      </c>
    </row>
    <row r="221" spans="1:6" hidden="1" x14ac:dyDescent="0.25">
      <c r="A221" s="1" t="s">
        <v>1108</v>
      </c>
      <c r="B221" s="1" t="s">
        <v>240</v>
      </c>
      <c r="C221" s="2">
        <v>43190</v>
      </c>
      <c r="D221" s="3">
        <v>12908</v>
      </c>
      <c r="E221" s="3">
        <v>0</v>
      </c>
      <c r="F221" s="3">
        <v>12908</v>
      </c>
    </row>
    <row r="222" spans="1:6" hidden="1" x14ac:dyDescent="0.25">
      <c r="A222" s="1" t="s">
        <v>1109</v>
      </c>
      <c r="B222" s="1" t="s">
        <v>241</v>
      </c>
      <c r="C222" s="2">
        <v>43190</v>
      </c>
      <c r="D222" s="3">
        <v>-1</v>
      </c>
      <c r="E222" s="3">
        <v>0</v>
      </c>
      <c r="F222" s="3">
        <v>-1</v>
      </c>
    </row>
    <row r="223" spans="1:6" hidden="1" x14ac:dyDescent="0.25">
      <c r="A223" s="1" t="s">
        <v>1110</v>
      </c>
      <c r="B223" s="1" t="s">
        <v>399</v>
      </c>
      <c r="C223" s="2">
        <v>43190</v>
      </c>
      <c r="D223" s="3">
        <v>0</v>
      </c>
      <c r="E223" s="3">
        <v>0</v>
      </c>
      <c r="F223" s="3">
        <v>0</v>
      </c>
    </row>
    <row r="224" spans="1:6" hidden="1" x14ac:dyDescent="0.25">
      <c r="A224" s="1" t="s">
        <v>1111</v>
      </c>
      <c r="B224" s="1" t="s">
        <v>259</v>
      </c>
      <c r="C224" s="2">
        <v>43190</v>
      </c>
      <c r="D224" s="3">
        <v>0</v>
      </c>
      <c r="E224" s="3">
        <v>0</v>
      </c>
      <c r="F224" s="3">
        <v>0</v>
      </c>
    </row>
    <row r="225" spans="1:6" hidden="1" x14ac:dyDescent="0.25">
      <c r="A225" s="1" t="s">
        <v>1112</v>
      </c>
      <c r="B225" s="1" t="s">
        <v>259</v>
      </c>
      <c r="C225" s="2">
        <v>43190</v>
      </c>
      <c r="D225" s="3">
        <v>269759</v>
      </c>
      <c r="E225" s="3">
        <v>0</v>
      </c>
      <c r="F225" s="3">
        <v>269759</v>
      </c>
    </row>
    <row r="226" spans="1:6" hidden="1" x14ac:dyDescent="0.25">
      <c r="A226" s="1" t="s">
        <v>1113</v>
      </c>
      <c r="B226" s="1" t="s">
        <v>253</v>
      </c>
      <c r="C226" s="2">
        <v>43190</v>
      </c>
      <c r="D226" s="3">
        <v>0</v>
      </c>
      <c r="E226" s="3">
        <v>0</v>
      </c>
      <c r="F226" s="3">
        <v>0</v>
      </c>
    </row>
    <row r="227" spans="1:6" hidden="1" x14ac:dyDescent="0.25">
      <c r="A227" s="1" t="s">
        <v>1114</v>
      </c>
      <c r="B227" s="1" t="s">
        <v>253</v>
      </c>
      <c r="C227" s="2">
        <v>43190</v>
      </c>
      <c r="D227" s="3">
        <v>189283</v>
      </c>
      <c r="E227" s="3">
        <v>0</v>
      </c>
      <c r="F227" s="3">
        <v>189283</v>
      </c>
    </row>
    <row r="228" spans="1:6" hidden="1" x14ac:dyDescent="0.25">
      <c r="A228" s="1" t="s">
        <v>1115</v>
      </c>
      <c r="B228" s="1" t="s">
        <v>267</v>
      </c>
      <c r="C228" s="2">
        <v>43190</v>
      </c>
      <c r="D228" s="3">
        <v>0</v>
      </c>
      <c r="E228" s="3">
        <v>0</v>
      </c>
      <c r="F228" s="3">
        <v>0</v>
      </c>
    </row>
    <row r="229" spans="1:6" hidden="1" x14ac:dyDescent="0.25">
      <c r="A229" s="1" t="s">
        <v>1116</v>
      </c>
      <c r="B229" s="1" t="s">
        <v>267</v>
      </c>
      <c r="C229" s="2">
        <v>43190</v>
      </c>
      <c r="D229" s="3">
        <v>-1</v>
      </c>
      <c r="E229" s="3">
        <v>0</v>
      </c>
      <c r="F229" s="3">
        <v>-1</v>
      </c>
    </row>
    <row r="230" spans="1:6" hidden="1" x14ac:dyDescent="0.25">
      <c r="A230" s="1" t="s">
        <v>1117</v>
      </c>
      <c r="B230" s="1" t="s">
        <v>240</v>
      </c>
      <c r="C230" s="2">
        <v>43190</v>
      </c>
      <c r="D230" s="3">
        <v>0</v>
      </c>
      <c r="E230" s="3">
        <v>0</v>
      </c>
      <c r="F230" s="3">
        <v>0</v>
      </c>
    </row>
    <row r="231" spans="1:6" hidden="1" x14ac:dyDescent="0.25">
      <c r="A231" s="1" t="s">
        <v>1118</v>
      </c>
      <c r="B231" s="1" t="s">
        <v>240</v>
      </c>
      <c r="C231" s="2">
        <v>43190</v>
      </c>
      <c r="D231" s="3">
        <v>0</v>
      </c>
      <c r="E231" s="3">
        <v>0</v>
      </c>
      <c r="F231" s="3">
        <v>0</v>
      </c>
    </row>
    <row r="232" spans="1:6" hidden="1" x14ac:dyDescent="0.25">
      <c r="A232" s="1" t="s">
        <v>1119</v>
      </c>
      <c r="B232" s="1" t="s">
        <v>241</v>
      </c>
      <c r="C232" s="2">
        <v>43190</v>
      </c>
      <c r="D232" s="3">
        <v>90856</v>
      </c>
      <c r="E232" s="3">
        <v>0</v>
      </c>
      <c r="F232" s="3">
        <v>90856</v>
      </c>
    </row>
    <row r="233" spans="1:6" hidden="1" x14ac:dyDescent="0.25">
      <c r="A233" s="1" t="s">
        <v>1120</v>
      </c>
      <c r="B233" s="1" t="s">
        <v>241</v>
      </c>
      <c r="C233" s="2">
        <v>43190</v>
      </c>
      <c r="D233" s="3">
        <v>92197</v>
      </c>
      <c r="E233" s="3">
        <v>0</v>
      </c>
      <c r="F233" s="3">
        <v>92197</v>
      </c>
    </row>
    <row r="234" spans="1:6" hidden="1" x14ac:dyDescent="0.25">
      <c r="A234" s="1" t="s">
        <v>1121</v>
      </c>
      <c r="B234" s="1" t="s">
        <v>399</v>
      </c>
      <c r="C234" s="2">
        <v>43190</v>
      </c>
      <c r="D234" s="3">
        <v>121882</v>
      </c>
      <c r="E234" s="3">
        <v>0</v>
      </c>
      <c r="F234" s="3">
        <v>121882</v>
      </c>
    </row>
    <row r="235" spans="1:6" hidden="1" x14ac:dyDescent="0.25">
      <c r="A235" s="1" t="s">
        <v>1122</v>
      </c>
      <c r="B235" s="1" t="s">
        <v>399</v>
      </c>
      <c r="C235" s="2">
        <v>43190</v>
      </c>
      <c r="D235" s="3">
        <v>457403</v>
      </c>
      <c r="E235" s="3">
        <v>0</v>
      </c>
      <c r="F235" s="3">
        <v>457403</v>
      </c>
    </row>
    <row r="236" spans="1:6" hidden="1" x14ac:dyDescent="0.25">
      <c r="A236" s="1" t="s">
        <v>1123</v>
      </c>
      <c r="B236" s="1" t="s">
        <v>259</v>
      </c>
      <c r="C236" s="2">
        <v>43190</v>
      </c>
      <c r="D236" s="3">
        <v>0</v>
      </c>
      <c r="E236" s="3">
        <v>0</v>
      </c>
      <c r="F236" s="3">
        <v>0</v>
      </c>
    </row>
    <row r="237" spans="1:6" hidden="1" x14ac:dyDescent="0.25">
      <c r="A237" s="1" t="s">
        <v>1124</v>
      </c>
      <c r="B237" s="1" t="s">
        <v>259</v>
      </c>
      <c r="C237" s="2">
        <v>43190</v>
      </c>
      <c r="D237" s="3">
        <v>165493</v>
      </c>
      <c r="E237" s="3">
        <v>0</v>
      </c>
      <c r="F237" s="3">
        <v>165493</v>
      </c>
    </row>
    <row r="238" spans="1:6" x14ac:dyDescent="0.25">
      <c r="A238" s="1" t="s">
        <v>326</v>
      </c>
      <c r="B238" s="1" t="s">
        <v>261</v>
      </c>
      <c r="C238" s="2">
        <v>43190</v>
      </c>
      <c r="D238" s="3">
        <v>-60316</v>
      </c>
      <c r="E238" s="3">
        <v>0</v>
      </c>
      <c r="F238" s="3">
        <v>-60316</v>
      </c>
    </row>
    <row r="239" spans="1:6" x14ac:dyDescent="0.25">
      <c r="A239" s="1" t="s">
        <v>333</v>
      </c>
      <c r="B239" s="1" t="s">
        <v>261</v>
      </c>
      <c r="C239" s="2">
        <v>43190</v>
      </c>
      <c r="D239" s="3">
        <v>464</v>
      </c>
      <c r="E239" s="3">
        <v>0</v>
      </c>
      <c r="F239" s="3">
        <v>464</v>
      </c>
    </row>
    <row r="240" spans="1:6" x14ac:dyDescent="0.25">
      <c r="A240" s="1" t="s">
        <v>335</v>
      </c>
      <c r="B240" s="1" t="s">
        <v>261</v>
      </c>
      <c r="C240" s="2">
        <v>43190</v>
      </c>
      <c r="D240" s="3">
        <v>2082</v>
      </c>
      <c r="E240" s="3">
        <v>0</v>
      </c>
      <c r="F240" s="3">
        <v>2082</v>
      </c>
    </row>
    <row r="241" spans="1:6" x14ac:dyDescent="0.25">
      <c r="A241" s="1" t="s">
        <v>324</v>
      </c>
      <c r="B241" s="1" t="s">
        <v>261</v>
      </c>
      <c r="C241" s="2">
        <v>43190</v>
      </c>
      <c r="D241" s="3">
        <v>-76277</v>
      </c>
      <c r="E241" s="3">
        <v>0</v>
      </c>
      <c r="F241" s="3">
        <v>-76277</v>
      </c>
    </row>
    <row r="242" spans="1:6" x14ac:dyDescent="0.25">
      <c r="A242" s="1" t="s">
        <v>1125</v>
      </c>
      <c r="B242" s="1" t="s">
        <v>261</v>
      </c>
      <c r="C242" s="2">
        <v>43190</v>
      </c>
      <c r="D242" s="3">
        <v>0</v>
      </c>
      <c r="E242" s="3">
        <v>0</v>
      </c>
      <c r="F242" s="3">
        <v>0</v>
      </c>
    </row>
    <row r="243" spans="1:6" hidden="1" x14ac:dyDescent="0.25">
      <c r="A243" s="1" t="s">
        <v>1126</v>
      </c>
      <c r="B243" s="1" t="s">
        <v>400</v>
      </c>
      <c r="C243" s="2">
        <v>43190</v>
      </c>
      <c r="D243" s="3">
        <v>-952</v>
      </c>
      <c r="E243" s="3">
        <v>0</v>
      </c>
      <c r="F243" s="3">
        <v>-952</v>
      </c>
    </row>
    <row r="244" spans="1:6" hidden="1" x14ac:dyDescent="0.25">
      <c r="A244" s="1" t="s">
        <v>1127</v>
      </c>
      <c r="B244" s="1" t="s">
        <v>253</v>
      </c>
      <c r="C244" s="2">
        <v>43190</v>
      </c>
      <c r="D244" s="3">
        <v>0</v>
      </c>
      <c r="E244" s="3">
        <v>0</v>
      </c>
      <c r="F244" s="3">
        <v>0</v>
      </c>
    </row>
    <row r="245" spans="1:6" hidden="1" x14ac:dyDescent="0.25">
      <c r="A245" s="1" t="s">
        <v>1128</v>
      </c>
      <c r="B245" s="1" t="s">
        <v>267</v>
      </c>
      <c r="C245" s="2">
        <v>43190</v>
      </c>
      <c r="D245" s="3">
        <v>0</v>
      </c>
      <c r="E245" s="3">
        <v>0</v>
      </c>
      <c r="F245" s="3">
        <v>0</v>
      </c>
    </row>
    <row r="246" spans="1:6" hidden="1" x14ac:dyDescent="0.25">
      <c r="A246" s="1" t="s">
        <v>1129</v>
      </c>
      <c r="B246" s="1" t="s">
        <v>259</v>
      </c>
      <c r="C246" s="2">
        <v>43190</v>
      </c>
      <c r="D246" s="3">
        <v>0</v>
      </c>
      <c r="E246" s="3">
        <v>0</v>
      </c>
      <c r="F246" s="3">
        <v>0</v>
      </c>
    </row>
    <row r="247" spans="1:6" hidden="1" x14ac:dyDescent="0.25">
      <c r="A247" s="1" t="s">
        <v>1130</v>
      </c>
      <c r="B247" s="1" t="s">
        <v>240</v>
      </c>
      <c r="C247" s="2">
        <v>43190</v>
      </c>
      <c r="D247" s="3">
        <v>0</v>
      </c>
      <c r="E247" s="3">
        <v>0</v>
      </c>
      <c r="F247" s="3">
        <v>0</v>
      </c>
    </row>
    <row r="248" spans="1:6" hidden="1" x14ac:dyDescent="0.25">
      <c r="A248" s="1" t="s">
        <v>1131</v>
      </c>
      <c r="B248" s="1" t="s">
        <v>399</v>
      </c>
      <c r="C248" s="2">
        <v>43190</v>
      </c>
      <c r="D248" s="3">
        <v>0</v>
      </c>
      <c r="E248" s="3">
        <v>0</v>
      </c>
      <c r="F248" s="3">
        <v>0</v>
      </c>
    </row>
    <row r="249" spans="1:6" hidden="1" x14ac:dyDescent="0.25">
      <c r="A249" s="1" t="s">
        <v>1132</v>
      </c>
      <c r="B249" s="1" t="s">
        <v>267</v>
      </c>
      <c r="C249" s="2">
        <v>43190</v>
      </c>
      <c r="D249" s="3">
        <v>0</v>
      </c>
      <c r="E249" s="3">
        <v>0</v>
      </c>
      <c r="F249" s="3">
        <v>0</v>
      </c>
    </row>
    <row r="250" spans="1:6" hidden="1" x14ac:dyDescent="0.25">
      <c r="A250" s="1" t="s">
        <v>1133</v>
      </c>
      <c r="B250" s="1" t="s">
        <v>400</v>
      </c>
      <c r="C250" s="2">
        <v>43190</v>
      </c>
      <c r="D250" s="3">
        <v>0</v>
      </c>
      <c r="E250" s="3">
        <v>0</v>
      </c>
      <c r="F250" s="3">
        <v>0</v>
      </c>
    </row>
    <row r="251" spans="1:6" x14ac:dyDescent="0.25">
      <c r="A251" s="1" t="s">
        <v>1134</v>
      </c>
      <c r="B251" s="1" t="s">
        <v>261</v>
      </c>
      <c r="C251" s="2">
        <v>43190</v>
      </c>
      <c r="D251" s="3">
        <v>0</v>
      </c>
      <c r="E251" s="3">
        <v>0</v>
      </c>
      <c r="F251" s="3">
        <v>0</v>
      </c>
    </row>
    <row r="252" spans="1:6" hidden="1" x14ac:dyDescent="0.25">
      <c r="A252" s="1" t="s">
        <v>1135</v>
      </c>
      <c r="B252" s="1" t="s">
        <v>253</v>
      </c>
      <c r="C252" s="2">
        <v>43190</v>
      </c>
      <c r="D252" s="3">
        <v>0</v>
      </c>
      <c r="E252" s="3">
        <v>0</v>
      </c>
      <c r="F252" s="3">
        <v>0</v>
      </c>
    </row>
    <row r="253" spans="1:6" hidden="1" x14ac:dyDescent="0.25">
      <c r="A253" s="1" t="s">
        <v>1136</v>
      </c>
      <c r="B253" s="1" t="s">
        <v>399</v>
      </c>
      <c r="C253" s="2">
        <v>43190</v>
      </c>
      <c r="D253" s="3">
        <v>-249753</v>
      </c>
      <c r="E253" s="3">
        <v>0</v>
      </c>
      <c r="F253" s="3">
        <v>-249753</v>
      </c>
    </row>
    <row r="254" spans="1:6" hidden="1" x14ac:dyDescent="0.25">
      <c r="A254" s="1" t="s">
        <v>1137</v>
      </c>
      <c r="B254" s="1" t="s">
        <v>399</v>
      </c>
      <c r="C254" s="2">
        <v>43190</v>
      </c>
      <c r="D254" s="3">
        <v>0</v>
      </c>
      <c r="E254" s="3">
        <v>0</v>
      </c>
      <c r="F254" s="3">
        <v>0</v>
      </c>
    </row>
    <row r="255" spans="1:6" hidden="1" x14ac:dyDescent="0.25">
      <c r="A255" s="1" t="s">
        <v>1138</v>
      </c>
      <c r="B255" s="1" t="s">
        <v>241</v>
      </c>
      <c r="C255" s="2">
        <v>43190</v>
      </c>
      <c r="D255" s="3">
        <v>-67334.139999999956</v>
      </c>
      <c r="E255" s="3">
        <v>317.47000000000116</v>
      </c>
      <c r="F255" s="3">
        <v>-67016.669999999955</v>
      </c>
    </row>
    <row r="256" spans="1:6" hidden="1" x14ac:dyDescent="0.25">
      <c r="A256" s="1" t="s">
        <v>1139</v>
      </c>
      <c r="B256" s="1" t="s">
        <v>241</v>
      </c>
      <c r="C256" s="2">
        <v>43190</v>
      </c>
      <c r="D256" s="3">
        <v>-60190</v>
      </c>
      <c r="E256" s="3">
        <v>0</v>
      </c>
      <c r="F256" s="3">
        <v>-60190</v>
      </c>
    </row>
    <row r="257" spans="1:6" x14ac:dyDescent="0.25">
      <c r="A257" s="1" t="s">
        <v>332</v>
      </c>
      <c r="B257" s="1" t="s">
        <v>261</v>
      </c>
      <c r="C257" s="2">
        <v>43190</v>
      </c>
      <c r="D257" s="3">
        <v>0</v>
      </c>
      <c r="E257" s="3">
        <v>0</v>
      </c>
      <c r="F257" s="3">
        <v>0</v>
      </c>
    </row>
    <row r="258" spans="1:6" x14ac:dyDescent="0.25">
      <c r="A258" s="1" t="s">
        <v>331</v>
      </c>
      <c r="B258" s="1" t="s">
        <v>261</v>
      </c>
      <c r="C258" s="2">
        <v>43190</v>
      </c>
      <c r="D258" s="3">
        <v>2993</v>
      </c>
      <c r="E258" s="3">
        <v>0</v>
      </c>
      <c r="F258" s="3">
        <v>2993</v>
      </c>
    </row>
    <row r="259" spans="1:6" x14ac:dyDescent="0.25">
      <c r="A259" s="1" t="s">
        <v>334</v>
      </c>
      <c r="B259" s="1" t="s">
        <v>261</v>
      </c>
      <c r="C259" s="2">
        <v>43190</v>
      </c>
      <c r="D259" s="3">
        <v>-300</v>
      </c>
      <c r="E259" s="3">
        <v>0</v>
      </c>
      <c r="F259" s="3">
        <v>-300</v>
      </c>
    </row>
    <row r="260" spans="1:6" hidden="1" x14ac:dyDescent="0.25">
      <c r="A260" s="1" t="s">
        <v>1140</v>
      </c>
      <c r="B260" s="1" t="s">
        <v>400</v>
      </c>
      <c r="C260" s="2">
        <v>43190</v>
      </c>
      <c r="D260" s="3">
        <v>0</v>
      </c>
      <c r="E260" s="3">
        <v>0</v>
      </c>
      <c r="F260" s="3">
        <v>0</v>
      </c>
    </row>
    <row r="261" spans="1:6" hidden="1" x14ac:dyDescent="0.25">
      <c r="A261" s="1" t="s">
        <v>1141</v>
      </c>
      <c r="B261" s="1" t="s">
        <v>253</v>
      </c>
      <c r="C261" s="2">
        <v>43190</v>
      </c>
      <c r="D261" s="3">
        <v>3</v>
      </c>
      <c r="E261" s="3">
        <v>0</v>
      </c>
      <c r="F261" s="3">
        <v>3</v>
      </c>
    </row>
    <row r="262" spans="1:6" hidden="1" x14ac:dyDescent="0.25">
      <c r="A262" s="1" t="s">
        <v>1142</v>
      </c>
      <c r="B262" s="1" t="s">
        <v>399</v>
      </c>
      <c r="C262" s="2">
        <v>43190</v>
      </c>
      <c r="D262" s="3">
        <v>-59070</v>
      </c>
      <c r="E262" s="3">
        <v>0</v>
      </c>
      <c r="F262" s="3">
        <v>-59070</v>
      </c>
    </row>
    <row r="263" spans="1:6" hidden="1" x14ac:dyDescent="0.25">
      <c r="A263" s="1" t="s">
        <v>1143</v>
      </c>
      <c r="B263" s="1" t="s">
        <v>240</v>
      </c>
      <c r="C263" s="2">
        <v>43190</v>
      </c>
      <c r="D263" s="3">
        <v>420318</v>
      </c>
      <c r="E263" s="3">
        <v>0</v>
      </c>
      <c r="F263" s="3">
        <v>420318</v>
      </c>
    </row>
    <row r="264" spans="1:6" hidden="1" x14ac:dyDescent="0.25">
      <c r="A264" s="1" t="s">
        <v>1144</v>
      </c>
      <c r="B264" s="1" t="s">
        <v>253</v>
      </c>
      <c r="C264" s="2">
        <v>43190</v>
      </c>
      <c r="D264" s="3">
        <v>-171214</v>
      </c>
      <c r="E264" s="3">
        <v>0</v>
      </c>
      <c r="F264" s="3">
        <v>-171214</v>
      </c>
    </row>
    <row r="265" spans="1:6" hidden="1" x14ac:dyDescent="0.25">
      <c r="A265" s="1" t="s">
        <v>1145</v>
      </c>
      <c r="B265" s="1" t="s">
        <v>240</v>
      </c>
      <c r="C265" s="2">
        <v>43190</v>
      </c>
      <c r="D265" s="3">
        <v>36480</v>
      </c>
      <c r="E265" s="3">
        <v>0</v>
      </c>
      <c r="F265" s="3">
        <v>36480</v>
      </c>
    </row>
    <row r="266" spans="1:6" hidden="1" x14ac:dyDescent="0.25">
      <c r="A266" s="1" t="s">
        <v>1146</v>
      </c>
      <c r="B266" s="1" t="s">
        <v>241</v>
      </c>
      <c r="C266" s="2">
        <v>43190</v>
      </c>
      <c r="D266" s="3">
        <v>-1481411</v>
      </c>
      <c r="E266" s="3">
        <v>0</v>
      </c>
      <c r="F266" s="3">
        <v>-1481411</v>
      </c>
    </row>
    <row r="267" spans="1:6" hidden="1" x14ac:dyDescent="0.25">
      <c r="A267" s="1" t="s">
        <v>1147</v>
      </c>
      <c r="B267" s="1" t="s">
        <v>399</v>
      </c>
      <c r="C267" s="2">
        <v>43190</v>
      </c>
      <c r="D267" s="3">
        <v>-26328</v>
      </c>
      <c r="E267" s="3">
        <v>0</v>
      </c>
      <c r="F267" s="3">
        <v>-26328</v>
      </c>
    </row>
    <row r="268" spans="1:6" hidden="1" x14ac:dyDescent="0.25">
      <c r="A268" s="1" t="s">
        <v>1148</v>
      </c>
      <c r="B268" s="1" t="s">
        <v>267</v>
      </c>
      <c r="C268" s="2">
        <v>43190</v>
      </c>
      <c r="D268" s="3">
        <v>-2061</v>
      </c>
      <c r="E268" s="3">
        <v>0</v>
      </c>
      <c r="F268" s="3">
        <v>-2061</v>
      </c>
    </row>
    <row r="269" spans="1:6" hidden="1" x14ac:dyDescent="0.25">
      <c r="A269" s="1" t="s">
        <v>1149</v>
      </c>
      <c r="B269" s="1" t="s">
        <v>400</v>
      </c>
      <c r="C269" s="2">
        <v>43190</v>
      </c>
      <c r="D269" s="3">
        <v>0</v>
      </c>
      <c r="E269" s="3">
        <v>0</v>
      </c>
      <c r="F269" s="3">
        <v>0</v>
      </c>
    </row>
    <row r="270" spans="1:6" hidden="1" x14ac:dyDescent="0.25">
      <c r="A270" s="1" t="s">
        <v>1150</v>
      </c>
      <c r="B270" s="1" t="s">
        <v>259</v>
      </c>
      <c r="C270" s="2">
        <v>43190</v>
      </c>
      <c r="D270" s="3">
        <v>-528716</v>
      </c>
      <c r="E270" s="3">
        <v>0</v>
      </c>
      <c r="F270" s="3">
        <v>-528716</v>
      </c>
    </row>
    <row r="271" spans="1:6" x14ac:dyDescent="0.25">
      <c r="A271" s="1" t="s">
        <v>344</v>
      </c>
      <c r="B271" s="1" t="s">
        <v>261</v>
      </c>
      <c r="C271" s="2">
        <v>43190</v>
      </c>
      <c r="D271" s="3">
        <v>-91</v>
      </c>
      <c r="E271" s="3">
        <v>0</v>
      </c>
      <c r="F271" s="3">
        <v>-91</v>
      </c>
    </row>
    <row r="272" spans="1:6" hidden="1" x14ac:dyDescent="0.25">
      <c r="A272" s="1" t="s">
        <v>1151</v>
      </c>
      <c r="B272" s="1" t="s">
        <v>253</v>
      </c>
      <c r="C272" s="2">
        <v>43190</v>
      </c>
      <c r="D272" s="3">
        <v>-557</v>
      </c>
      <c r="E272" s="3">
        <v>0</v>
      </c>
      <c r="F272" s="3">
        <v>-557</v>
      </c>
    </row>
    <row r="273" spans="1:6" hidden="1" x14ac:dyDescent="0.25">
      <c r="A273" s="1" t="s">
        <v>1152</v>
      </c>
      <c r="B273" s="1" t="s">
        <v>267</v>
      </c>
      <c r="C273" s="2">
        <v>43190</v>
      </c>
      <c r="D273" s="3">
        <v>666</v>
      </c>
      <c r="E273" s="3">
        <v>0</v>
      </c>
      <c r="F273" s="3">
        <v>666</v>
      </c>
    </row>
    <row r="274" spans="1:6" hidden="1" x14ac:dyDescent="0.25">
      <c r="A274" s="1" t="s">
        <v>1153</v>
      </c>
      <c r="B274" s="1" t="s">
        <v>241</v>
      </c>
      <c r="C274" s="2">
        <v>43190</v>
      </c>
      <c r="D274" s="3">
        <v>0</v>
      </c>
      <c r="E274" s="3">
        <v>0</v>
      </c>
      <c r="F274" s="3">
        <v>0</v>
      </c>
    </row>
    <row r="275" spans="1:6" hidden="1" x14ac:dyDescent="0.25">
      <c r="A275" s="1" t="s">
        <v>1154</v>
      </c>
      <c r="B275" s="1" t="s">
        <v>400</v>
      </c>
      <c r="C275" s="2">
        <v>43190</v>
      </c>
      <c r="D275" s="3">
        <v>5</v>
      </c>
      <c r="E275" s="3">
        <v>0</v>
      </c>
      <c r="F275" s="3">
        <v>5</v>
      </c>
    </row>
    <row r="276" spans="1:6" hidden="1" x14ac:dyDescent="0.25">
      <c r="A276" s="1" t="s">
        <v>1155</v>
      </c>
      <c r="B276" s="1" t="s">
        <v>259</v>
      </c>
      <c r="C276" s="2">
        <v>43190</v>
      </c>
      <c r="D276" s="3">
        <v>-1336</v>
      </c>
      <c r="E276" s="3">
        <v>0</v>
      </c>
      <c r="F276" s="3">
        <v>-1336</v>
      </c>
    </row>
    <row r="277" spans="1:6" x14ac:dyDescent="0.25">
      <c r="A277" s="1" t="s">
        <v>345</v>
      </c>
      <c r="B277" s="1" t="s">
        <v>261</v>
      </c>
      <c r="C277" s="2">
        <v>43190</v>
      </c>
      <c r="D277" s="3">
        <v>0</v>
      </c>
      <c r="E277" s="3">
        <v>0</v>
      </c>
      <c r="F277" s="3">
        <v>0</v>
      </c>
    </row>
    <row r="278" spans="1:6" x14ac:dyDescent="0.25">
      <c r="A278" s="1" t="s">
        <v>352</v>
      </c>
      <c r="B278" s="1" t="s">
        <v>261</v>
      </c>
      <c r="C278" s="2">
        <v>43190</v>
      </c>
      <c r="D278" s="3">
        <v>-8455</v>
      </c>
      <c r="E278" s="3">
        <v>0</v>
      </c>
      <c r="F278" s="3">
        <v>-8455</v>
      </c>
    </row>
    <row r="279" spans="1:6" hidden="1" x14ac:dyDescent="0.25">
      <c r="A279" s="1" t="s">
        <v>1156</v>
      </c>
      <c r="B279" s="1" t="s">
        <v>253</v>
      </c>
      <c r="C279" s="2">
        <v>43190</v>
      </c>
      <c r="D279" s="3">
        <v>0</v>
      </c>
      <c r="E279" s="3">
        <v>-69773</v>
      </c>
      <c r="F279" s="3">
        <v>-69773</v>
      </c>
    </row>
    <row r="280" spans="1:6" hidden="1" x14ac:dyDescent="0.25">
      <c r="A280" s="1" t="s">
        <v>1157</v>
      </c>
      <c r="B280" s="1" t="s">
        <v>241</v>
      </c>
      <c r="C280" s="2">
        <v>43190</v>
      </c>
      <c r="D280" s="3">
        <v>0</v>
      </c>
      <c r="E280" s="3">
        <v>-50178</v>
      </c>
      <c r="F280" s="3">
        <v>-50178</v>
      </c>
    </row>
    <row r="281" spans="1:6" hidden="1" x14ac:dyDescent="0.25">
      <c r="A281" s="1" t="s">
        <v>1158</v>
      </c>
      <c r="B281" s="1" t="s">
        <v>399</v>
      </c>
      <c r="C281" s="2">
        <v>43190</v>
      </c>
      <c r="D281" s="3">
        <v>0</v>
      </c>
      <c r="E281" s="3">
        <v>-177516</v>
      </c>
      <c r="F281" s="3">
        <v>-177516</v>
      </c>
    </row>
    <row r="282" spans="1:6" hidden="1" x14ac:dyDescent="0.25">
      <c r="A282" s="1" t="s">
        <v>1159</v>
      </c>
      <c r="B282" s="1" t="s">
        <v>267</v>
      </c>
      <c r="C282" s="2">
        <v>43190</v>
      </c>
      <c r="D282" s="3">
        <v>0</v>
      </c>
      <c r="E282" s="3">
        <v>4490</v>
      </c>
      <c r="F282" s="3">
        <v>4490</v>
      </c>
    </row>
    <row r="283" spans="1:6" hidden="1" x14ac:dyDescent="0.25">
      <c r="A283" s="1" t="s">
        <v>1160</v>
      </c>
      <c r="B283" s="1" t="s">
        <v>400</v>
      </c>
      <c r="C283" s="2">
        <v>43190</v>
      </c>
      <c r="D283" s="3">
        <v>0</v>
      </c>
      <c r="E283" s="3">
        <v>-426</v>
      </c>
      <c r="F283" s="3">
        <v>-426</v>
      </c>
    </row>
    <row r="284" spans="1:6" hidden="1" x14ac:dyDescent="0.25">
      <c r="A284" s="1" t="s">
        <v>1161</v>
      </c>
      <c r="B284" s="1" t="s">
        <v>259</v>
      </c>
      <c r="C284" s="2">
        <v>43190</v>
      </c>
      <c r="D284" s="3">
        <v>0</v>
      </c>
      <c r="E284" s="3">
        <v>-8231</v>
      </c>
      <c r="F284" s="3">
        <v>-8231</v>
      </c>
    </row>
    <row r="285" spans="1:6" x14ac:dyDescent="0.25">
      <c r="A285" s="1" t="s">
        <v>353</v>
      </c>
      <c r="B285" s="1" t="s">
        <v>261</v>
      </c>
      <c r="C285" s="2">
        <v>43190</v>
      </c>
      <c r="D285" s="3">
        <v>0</v>
      </c>
      <c r="E285" s="3">
        <v>9400</v>
      </c>
      <c r="F285" s="3">
        <v>9400</v>
      </c>
    </row>
    <row r="286" spans="1:6" hidden="1" x14ac:dyDescent="0.25">
      <c r="A286" s="1" t="s">
        <v>1162</v>
      </c>
      <c r="B286" s="1" t="s">
        <v>253</v>
      </c>
      <c r="C286" s="2">
        <v>43190</v>
      </c>
      <c r="D286" s="3">
        <v>2196230</v>
      </c>
      <c r="E286" s="3">
        <v>0</v>
      </c>
      <c r="F286" s="3">
        <v>2196230</v>
      </c>
    </row>
    <row r="287" spans="1:6" hidden="1" x14ac:dyDescent="0.25">
      <c r="A287" s="1" t="s">
        <v>1163</v>
      </c>
      <c r="B287" s="1" t="s">
        <v>259</v>
      </c>
      <c r="C287" s="2">
        <v>43190</v>
      </c>
      <c r="D287" s="3">
        <v>6601471</v>
      </c>
      <c r="E287" s="3">
        <v>0</v>
      </c>
      <c r="F287" s="3">
        <v>6601471</v>
      </c>
    </row>
    <row r="288" spans="1:6" hidden="1" x14ac:dyDescent="0.25">
      <c r="A288" s="1" t="s">
        <v>1164</v>
      </c>
      <c r="B288" s="1" t="s">
        <v>267</v>
      </c>
      <c r="C288" s="2">
        <v>43190</v>
      </c>
      <c r="D288" s="3">
        <v>59873</v>
      </c>
      <c r="E288" s="3">
        <v>0</v>
      </c>
      <c r="F288" s="3">
        <v>59873</v>
      </c>
    </row>
    <row r="289" spans="1:6" x14ac:dyDescent="0.25">
      <c r="A289" s="1" t="s">
        <v>354</v>
      </c>
      <c r="B289" s="1" t="s">
        <v>261</v>
      </c>
      <c r="C289" s="2">
        <v>43190</v>
      </c>
      <c r="D289" s="3">
        <v>24791</v>
      </c>
      <c r="E289" s="3">
        <v>0</v>
      </c>
      <c r="F289" s="3">
        <v>24791</v>
      </c>
    </row>
    <row r="290" spans="1:6" hidden="1" x14ac:dyDescent="0.25">
      <c r="A290" s="1" t="s">
        <v>1165</v>
      </c>
      <c r="B290" s="1" t="s">
        <v>241</v>
      </c>
      <c r="C290" s="2">
        <v>43190</v>
      </c>
      <c r="D290" s="3">
        <v>1998594</v>
      </c>
      <c r="E290" s="3">
        <v>0</v>
      </c>
      <c r="F290" s="3">
        <v>1998594</v>
      </c>
    </row>
    <row r="291" spans="1:6" hidden="1" x14ac:dyDescent="0.25">
      <c r="A291" s="1" t="s">
        <v>1166</v>
      </c>
      <c r="B291" s="1" t="s">
        <v>240</v>
      </c>
      <c r="C291" s="2">
        <v>43190</v>
      </c>
      <c r="D291" s="3">
        <v>-87725</v>
      </c>
      <c r="E291" s="3">
        <v>0</v>
      </c>
      <c r="F291" s="3">
        <v>-87725</v>
      </c>
    </row>
    <row r="292" spans="1:6" hidden="1" x14ac:dyDescent="0.25">
      <c r="A292" s="1" t="s">
        <v>1167</v>
      </c>
      <c r="B292" s="1" t="s">
        <v>253</v>
      </c>
      <c r="C292" s="2">
        <v>43190</v>
      </c>
      <c r="D292" s="3">
        <v>35165</v>
      </c>
      <c r="E292" s="3">
        <v>30431</v>
      </c>
      <c r="F292" s="3">
        <v>65596</v>
      </c>
    </row>
    <row r="293" spans="1:6" hidden="1" x14ac:dyDescent="0.25">
      <c r="A293" s="1" t="s">
        <v>1168</v>
      </c>
      <c r="B293" s="1" t="s">
        <v>241</v>
      </c>
      <c r="C293" s="2">
        <v>43190</v>
      </c>
      <c r="D293" s="3">
        <v>39641</v>
      </c>
      <c r="E293" s="3">
        <v>34079</v>
      </c>
      <c r="F293" s="3">
        <v>73720</v>
      </c>
    </row>
    <row r="294" spans="1:6" hidden="1" x14ac:dyDescent="0.25">
      <c r="A294" s="1" t="s">
        <v>1169</v>
      </c>
      <c r="B294" s="1" t="s">
        <v>399</v>
      </c>
      <c r="C294" s="2">
        <v>43190</v>
      </c>
      <c r="D294" s="3">
        <v>11039</v>
      </c>
      <c r="E294" s="3">
        <v>8512</v>
      </c>
      <c r="F294" s="3">
        <v>19551</v>
      </c>
    </row>
    <row r="295" spans="1:6" hidden="1" x14ac:dyDescent="0.25">
      <c r="A295" s="1" t="s">
        <v>1170</v>
      </c>
      <c r="B295" s="1" t="s">
        <v>267</v>
      </c>
      <c r="C295" s="2">
        <v>43190</v>
      </c>
      <c r="D295" s="3">
        <v>1111</v>
      </c>
      <c r="E295" s="3">
        <v>1158</v>
      </c>
      <c r="F295" s="3">
        <v>2269</v>
      </c>
    </row>
    <row r="296" spans="1:6" hidden="1" x14ac:dyDescent="0.25">
      <c r="A296" s="1" t="s">
        <v>1171</v>
      </c>
      <c r="B296" s="1" t="s">
        <v>400</v>
      </c>
      <c r="C296" s="2">
        <v>43190</v>
      </c>
      <c r="D296" s="3">
        <v>771</v>
      </c>
      <c r="E296" s="3">
        <v>595</v>
      </c>
      <c r="F296" s="3">
        <v>1366</v>
      </c>
    </row>
    <row r="297" spans="1:6" hidden="1" x14ac:dyDescent="0.25">
      <c r="A297" s="1" t="s">
        <v>1172</v>
      </c>
      <c r="B297" s="1" t="s">
        <v>259</v>
      </c>
      <c r="C297" s="2">
        <v>43190</v>
      </c>
      <c r="D297" s="3">
        <v>88753</v>
      </c>
      <c r="E297" s="3">
        <v>72484</v>
      </c>
      <c r="F297" s="3">
        <v>161237</v>
      </c>
    </row>
    <row r="298" spans="1:6" x14ac:dyDescent="0.25">
      <c r="A298" s="1" t="s">
        <v>356</v>
      </c>
      <c r="B298" s="1" t="s">
        <v>261</v>
      </c>
      <c r="C298" s="2">
        <v>43190</v>
      </c>
      <c r="D298" s="3">
        <v>900</v>
      </c>
      <c r="E298" s="3">
        <v>969</v>
      </c>
      <c r="F298" s="3">
        <v>1869</v>
      </c>
    </row>
    <row r="299" spans="1:6" hidden="1" x14ac:dyDescent="0.25">
      <c r="A299" s="1" t="s">
        <v>1173</v>
      </c>
      <c r="B299" s="1" t="s">
        <v>253</v>
      </c>
      <c r="C299" s="2">
        <v>43190</v>
      </c>
      <c r="D299" s="3">
        <v>36268</v>
      </c>
      <c r="E299" s="3">
        <v>0</v>
      </c>
      <c r="F299" s="3">
        <v>36268</v>
      </c>
    </row>
    <row r="300" spans="1:6" hidden="1" x14ac:dyDescent="0.25">
      <c r="A300" s="1" t="s">
        <v>1174</v>
      </c>
      <c r="B300" s="1" t="s">
        <v>241</v>
      </c>
      <c r="C300" s="2">
        <v>43190</v>
      </c>
      <c r="D300" s="3">
        <v>40999</v>
      </c>
      <c r="E300" s="3">
        <v>0</v>
      </c>
      <c r="F300" s="3">
        <v>40999</v>
      </c>
    </row>
    <row r="301" spans="1:6" hidden="1" x14ac:dyDescent="0.25">
      <c r="A301" s="1" t="s">
        <v>1175</v>
      </c>
      <c r="B301" s="1" t="s">
        <v>399</v>
      </c>
      <c r="C301" s="2">
        <v>43190</v>
      </c>
      <c r="D301" s="3">
        <v>19448</v>
      </c>
      <c r="E301" s="3">
        <v>0</v>
      </c>
      <c r="F301" s="3">
        <v>19448</v>
      </c>
    </row>
    <row r="302" spans="1:6" hidden="1" x14ac:dyDescent="0.25">
      <c r="A302" s="1" t="s">
        <v>1176</v>
      </c>
      <c r="B302" s="1" t="s">
        <v>267</v>
      </c>
      <c r="C302" s="2">
        <v>43190</v>
      </c>
      <c r="D302" s="3">
        <v>526</v>
      </c>
      <c r="E302" s="3">
        <v>0</v>
      </c>
      <c r="F302" s="3">
        <v>526</v>
      </c>
    </row>
    <row r="303" spans="1:6" hidden="1" x14ac:dyDescent="0.25">
      <c r="A303" s="1" t="s">
        <v>1177</v>
      </c>
      <c r="B303" s="1" t="s">
        <v>400</v>
      </c>
      <c r="C303" s="2">
        <v>43190</v>
      </c>
      <c r="D303" s="3">
        <v>2103</v>
      </c>
      <c r="E303" s="3">
        <v>0</v>
      </c>
      <c r="F303" s="3">
        <v>2103</v>
      </c>
    </row>
    <row r="304" spans="1:6" hidden="1" x14ac:dyDescent="0.25">
      <c r="A304" s="1" t="s">
        <v>1178</v>
      </c>
      <c r="B304" s="1" t="s">
        <v>259</v>
      </c>
      <c r="C304" s="2">
        <v>43190</v>
      </c>
      <c r="D304" s="3">
        <v>93562</v>
      </c>
      <c r="E304" s="3">
        <v>0</v>
      </c>
      <c r="F304" s="3">
        <v>93562</v>
      </c>
    </row>
    <row r="305" spans="1:6" x14ac:dyDescent="0.25">
      <c r="A305" s="1" t="s">
        <v>357</v>
      </c>
      <c r="B305" s="1" t="s">
        <v>261</v>
      </c>
      <c r="C305" s="2">
        <v>43190</v>
      </c>
      <c r="D305" s="3">
        <v>526</v>
      </c>
      <c r="E305" s="3">
        <v>0</v>
      </c>
      <c r="F305" s="3">
        <v>526</v>
      </c>
    </row>
    <row r="306" spans="1:6" hidden="1" x14ac:dyDescent="0.25">
      <c r="A306" s="1" t="s">
        <v>1179</v>
      </c>
      <c r="B306" s="1" t="s">
        <v>253</v>
      </c>
      <c r="C306" s="2">
        <v>43190</v>
      </c>
      <c r="D306" s="3">
        <v>51192</v>
      </c>
      <c r="E306" s="3">
        <v>0</v>
      </c>
      <c r="F306" s="3">
        <v>51192</v>
      </c>
    </row>
    <row r="307" spans="1:6" hidden="1" x14ac:dyDescent="0.25">
      <c r="A307" s="1" t="s">
        <v>1180</v>
      </c>
      <c r="B307" s="1" t="s">
        <v>241</v>
      </c>
      <c r="C307" s="2">
        <v>43190</v>
      </c>
      <c r="D307" s="3">
        <v>54634</v>
      </c>
      <c r="E307" s="3">
        <v>0</v>
      </c>
      <c r="F307" s="3">
        <v>54634</v>
      </c>
    </row>
    <row r="308" spans="1:6" hidden="1" x14ac:dyDescent="0.25">
      <c r="A308" s="1" t="s">
        <v>1181</v>
      </c>
      <c r="B308" s="1" t="s">
        <v>399</v>
      </c>
      <c r="C308" s="2">
        <v>43190</v>
      </c>
      <c r="D308" s="3">
        <v>15143</v>
      </c>
      <c r="E308" s="3">
        <v>0</v>
      </c>
      <c r="F308" s="3">
        <v>15143</v>
      </c>
    </row>
    <row r="309" spans="1:6" hidden="1" x14ac:dyDescent="0.25">
      <c r="A309" s="1" t="s">
        <v>1182</v>
      </c>
      <c r="B309" s="1" t="s">
        <v>267</v>
      </c>
      <c r="C309" s="2">
        <v>43190</v>
      </c>
      <c r="D309" s="3">
        <v>1835</v>
      </c>
      <c r="E309" s="3">
        <v>0</v>
      </c>
      <c r="F309" s="3">
        <v>1835</v>
      </c>
    </row>
    <row r="310" spans="1:6" hidden="1" x14ac:dyDescent="0.25">
      <c r="A310" s="1" t="s">
        <v>1183</v>
      </c>
      <c r="B310" s="1" t="s">
        <v>400</v>
      </c>
      <c r="C310" s="2">
        <v>43190</v>
      </c>
      <c r="D310" s="3">
        <v>667</v>
      </c>
      <c r="E310" s="3">
        <v>0</v>
      </c>
      <c r="F310" s="3">
        <v>667</v>
      </c>
    </row>
    <row r="311" spans="1:6" hidden="1" x14ac:dyDescent="0.25">
      <c r="A311" s="1" t="s">
        <v>1184</v>
      </c>
      <c r="B311" s="1" t="s">
        <v>259</v>
      </c>
      <c r="C311" s="2">
        <v>43190</v>
      </c>
      <c r="D311" s="3">
        <v>135072</v>
      </c>
      <c r="E311" s="3">
        <v>0</v>
      </c>
      <c r="F311" s="3">
        <v>135072</v>
      </c>
    </row>
    <row r="312" spans="1:6" x14ac:dyDescent="0.25">
      <c r="A312" s="1" t="s">
        <v>358</v>
      </c>
      <c r="B312" s="1" t="s">
        <v>261</v>
      </c>
      <c r="C312" s="2">
        <v>43190</v>
      </c>
      <c r="D312" s="3">
        <v>1369</v>
      </c>
      <c r="E312" s="3">
        <v>0</v>
      </c>
      <c r="F312" s="3">
        <v>1369</v>
      </c>
    </row>
    <row r="313" spans="1:6" hidden="1" x14ac:dyDescent="0.25">
      <c r="A313" s="1" t="s">
        <v>1185</v>
      </c>
      <c r="B313" s="1" t="s">
        <v>241</v>
      </c>
      <c r="C313" s="2">
        <v>43190</v>
      </c>
      <c r="D313" s="3">
        <v>134066</v>
      </c>
      <c r="E313" s="3">
        <v>0</v>
      </c>
      <c r="F313" s="3">
        <v>134066</v>
      </c>
    </row>
    <row r="314" spans="1:6" hidden="1" x14ac:dyDescent="0.25">
      <c r="A314" s="1" t="s">
        <v>1186</v>
      </c>
      <c r="B314" s="1" t="s">
        <v>399</v>
      </c>
      <c r="C314" s="2">
        <v>43190</v>
      </c>
      <c r="D314" s="3">
        <v>34454</v>
      </c>
      <c r="E314" s="3">
        <v>0</v>
      </c>
      <c r="F314" s="3">
        <v>34454</v>
      </c>
    </row>
    <row r="315" spans="1:6" hidden="1" x14ac:dyDescent="0.25">
      <c r="A315" s="1" t="s">
        <v>1187</v>
      </c>
      <c r="B315" s="1" t="s">
        <v>267</v>
      </c>
      <c r="C315" s="2">
        <v>43190</v>
      </c>
      <c r="D315" s="3">
        <v>3889</v>
      </c>
      <c r="E315" s="3">
        <v>0</v>
      </c>
      <c r="F315" s="3">
        <v>3889</v>
      </c>
    </row>
    <row r="316" spans="1:6" hidden="1" x14ac:dyDescent="0.25">
      <c r="A316" s="1" t="s">
        <v>1188</v>
      </c>
      <c r="B316" s="1" t="s">
        <v>400</v>
      </c>
      <c r="C316" s="2">
        <v>43190</v>
      </c>
      <c r="D316" s="3">
        <v>2048</v>
      </c>
      <c r="E316" s="3">
        <v>0</v>
      </c>
      <c r="F316" s="3">
        <v>2048</v>
      </c>
    </row>
    <row r="317" spans="1:6" hidden="1" x14ac:dyDescent="0.25">
      <c r="A317" s="1" t="s">
        <v>1189</v>
      </c>
      <c r="B317" s="1" t="s">
        <v>259</v>
      </c>
      <c r="C317" s="2">
        <v>43190</v>
      </c>
      <c r="D317" s="3">
        <v>303293</v>
      </c>
      <c r="E317" s="3">
        <v>0</v>
      </c>
      <c r="F317" s="3">
        <v>303293</v>
      </c>
    </row>
    <row r="318" spans="1:6" x14ac:dyDescent="0.25">
      <c r="A318" s="1" t="s">
        <v>359</v>
      </c>
      <c r="B318" s="1" t="s">
        <v>261</v>
      </c>
      <c r="C318" s="2">
        <v>43190</v>
      </c>
      <c r="D318" s="3">
        <v>3063</v>
      </c>
      <c r="E318" s="3">
        <v>0</v>
      </c>
      <c r="F318" s="3">
        <v>3063</v>
      </c>
    </row>
    <row r="319" spans="1:6" hidden="1" x14ac:dyDescent="0.25">
      <c r="A319" s="1" t="s">
        <v>1190</v>
      </c>
      <c r="B319" s="1" t="s">
        <v>253</v>
      </c>
      <c r="C319" s="2">
        <v>43190</v>
      </c>
      <c r="D319" s="3">
        <v>118336</v>
      </c>
      <c r="E319" s="3">
        <v>0</v>
      </c>
      <c r="F319" s="3">
        <v>118336</v>
      </c>
    </row>
    <row r="320" spans="1:6" hidden="1" x14ac:dyDescent="0.25">
      <c r="A320" s="1" t="s">
        <v>1191</v>
      </c>
      <c r="B320" s="1" t="s">
        <v>253</v>
      </c>
      <c r="C320" s="2">
        <v>43190</v>
      </c>
      <c r="D320" s="3">
        <v>-42702</v>
      </c>
      <c r="E320" s="3">
        <v>-5393</v>
      </c>
      <c r="F320" s="3">
        <v>-48095</v>
      </c>
    </row>
    <row r="321" spans="1:6" hidden="1" x14ac:dyDescent="0.25">
      <c r="A321" s="1" t="s">
        <v>1192</v>
      </c>
      <c r="B321" s="1" t="s">
        <v>241</v>
      </c>
      <c r="C321" s="2">
        <v>43190</v>
      </c>
      <c r="D321" s="3">
        <v>-47732</v>
      </c>
      <c r="E321" s="3">
        <v>-6039</v>
      </c>
      <c r="F321" s="3">
        <v>-53771</v>
      </c>
    </row>
    <row r="322" spans="1:6" hidden="1" x14ac:dyDescent="0.25">
      <c r="A322" s="1" t="s">
        <v>1193</v>
      </c>
      <c r="B322" s="1" t="s">
        <v>267</v>
      </c>
      <c r="C322" s="2">
        <v>43190</v>
      </c>
      <c r="D322" s="3">
        <v>-1304</v>
      </c>
      <c r="E322" s="3">
        <v>-205</v>
      </c>
      <c r="F322" s="3">
        <v>-1509</v>
      </c>
    </row>
    <row r="323" spans="1:6" hidden="1" x14ac:dyDescent="0.25">
      <c r="A323" s="1" t="s">
        <v>1194</v>
      </c>
      <c r="B323" s="1" t="s">
        <v>259</v>
      </c>
      <c r="C323" s="2">
        <v>43190</v>
      </c>
      <c r="D323" s="3">
        <v>-109994</v>
      </c>
      <c r="E323" s="3">
        <v>-12845</v>
      </c>
      <c r="F323" s="3">
        <v>-122839</v>
      </c>
    </row>
    <row r="324" spans="1:6" x14ac:dyDescent="0.25">
      <c r="A324" s="1" t="s">
        <v>355</v>
      </c>
      <c r="B324" s="1" t="s">
        <v>261</v>
      </c>
      <c r="C324" s="2">
        <v>43190</v>
      </c>
      <c r="D324" s="3">
        <v>-1039</v>
      </c>
      <c r="E324" s="3">
        <v>-171</v>
      </c>
      <c r="F324" s="3">
        <v>-1210</v>
      </c>
    </row>
    <row r="326" spans="1:6" x14ac:dyDescent="0.25">
      <c r="D326" s="3">
        <f>SUBTOTAL(9,D2:D325)</f>
        <v>-110290</v>
      </c>
      <c r="E326" s="3">
        <f t="shared" ref="E326:F326" si="0">SUBTOTAL(9,E2:E325)</f>
        <v>10198</v>
      </c>
      <c r="F326" s="3">
        <f t="shared" si="0"/>
        <v>-100092</v>
      </c>
    </row>
  </sheetData>
  <autoFilter ref="A1:F324">
    <filterColumn colId="1">
      <filters>
        <filter val="FT00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101"/>
  <sheetViews>
    <sheetView topLeftCell="C13" zoomScale="90" zoomScaleNormal="90" workbookViewId="0">
      <selection activeCell="D23" sqref="D23:O23"/>
    </sheetView>
  </sheetViews>
  <sheetFormatPr defaultRowHeight="15" x14ac:dyDescent="0.25"/>
  <cols>
    <col min="1" max="1" width="11.28515625" style="327" customWidth="1"/>
    <col min="2" max="2" width="19.7109375" style="327" customWidth="1"/>
    <col min="3" max="5" width="14.7109375" style="327" customWidth="1"/>
    <col min="6" max="6" width="13.85546875" style="327" customWidth="1"/>
    <col min="7" max="7" width="14.5703125" style="327" customWidth="1"/>
    <col min="8" max="8" width="19" style="327" bestFit="1" customWidth="1"/>
    <col min="9" max="14" width="14.7109375" style="327" customWidth="1"/>
    <col min="15" max="15" width="12.5703125" style="327" bestFit="1" customWidth="1"/>
    <col min="16" max="16" width="9.140625" style="327"/>
    <col min="17" max="17" width="10.5703125" style="327" bestFit="1" customWidth="1"/>
    <col min="18" max="18" width="12.5703125" style="327" bestFit="1" customWidth="1"/>
    <col min="19" max="16384" width="9.140625" style="327"/>
  </cols>
  <sheetData>
    <row r="1" spans="1:13" ht="31.5" x14ac:dyDescent="0.5">
      <c r="A1" s="260" t="s">
        <v>1296</v>
      </c>
    </row>
    <row r="2" spans="1:13" ht="31.5" x14ac:dyDescent="0.5">
      <c r="A2" s="260" t="s">
        <v>193</v>
      </c>
    </row>
    <row r="3" spans="1:13" x14ac:dyDescent="0.25">
      <c r="A3" s="44"/>
      <c r="B3" s="44"/>
      <c r="C3" s="44"/>
      <c r="D3" s="44"/>
      <c r="E3" s="44"/>
      <c r="F3" s="44"/>
      <c r="G3" s="44"/>
    </row>
    <row r="4" spans="1:13" ht="30" customHeight="1" x14ac:dyDescent="0.25">
      <c r="A4" s="44"/>
      <c r="B4" s="44"/>
      <c r="C4" s="44"/>
      <c r="G4" s="328" t="s">
        <v>1276</v>
      </c>
      <c r="H4" s="328" t="s">
        <v>1277</v>
      </c>
      <c r="I4" s="328" t="s">
        <v>1278</v>
      </c>
      <c r="J4" s="328" t="s">
        <v>1279</v>
      </c>
    </row>
    <row r="5" spans="1:13" x14ac:dyDescent="0.25">
      <c r="A5" s="44" t="s">
        <v>232</v>
      </c>
      <c r="B5" s="44"/>
      <c r="C5" s="44"/>
      <c r="F5" s="329">
        <v>2019</v>
      </c>
      <c r="G5" s="330">
        <f>'FT Combined ARAM Summary'!E14</f>
        <v>45619</v>
      </c>
      <c r="H5" s="331" t="s">
        <v>1297</v>
      </c>
      <c r="I5" s="330">
        <f>VLOOKUP(F5,$B$19:$C$95,2,0)</f>
        <v>954</v>
      </c>
      <c r="J5" s="332">
        <f>+I5/12</f>
        <v>79.5</v>
      </c>
      <c r="L5" s="347"/>
      <c r="M5" s="333"/>
    </row>
    <row r="6" spans="1:13" x14ac:dyDescent="0.25">
      <c r="A6" s="44"/>
      <c r="B6" s="44"/>
      <c r="C6" s="44"/>
      <c r="G6" s="44"/>
      <c r="H6" s="331"/>
      <c r="I6" s="330"/>
      <c r="J6" s="44"/>
      <c r="L6" s="332"/>
    </row>
    <row r="7" spans="1:13" x14ac:dyDescent="0.25">
      <c r="A7" s="44" t="s">
        <v>233</v>
      </c>
      <c r="B7" s="44"/>
      <c r="C7" s="44"/>
      <c r="G7" s="330"/>
      <c r="H7" s="331"/>
      <c r="I7" s="330"/>
      <c r="J7" s="332"/>
      <c r="L7" s="332"/>
      <c r="M7" s="333"/>
    </row>
    <row r="8" spans="1:13" x14ac:dyDescent="0.25">
      <c r="A8" s="44"/>
      <c r="B8" s="44"/>
      <c r="C8" s="44"/>
      <c r="G8" s="330"/>
      <c r="H8" s="335"/>
      <c r="I8" s="330"/>
      <c r="J8" s="44"/>
      <c r="L8" s="332"/>
    </row>
    <row r="9" spans="1:13" x14ac:dyDescent="0.25">
      <c r="A9" s="44" t="s">
        <v>234</v>
      </c>
      <c r="B9" s="44"/>
      <c r="C9" s="44"/>
      <c r="G9" s="330"/>
      <c r="H9" s="331"/>
      <c r="I9" s="330"/>
      <c r="J9" s="332"/>
      <c r="L9" s="332"/>
      <c r="M9" s="333"/>
    </row>
    <row r="10" spans="1:13" x14ac:dyDescent="0.25">
      <c r="A10" s="44"/>
      <c r="B10" s="44"/>
      <c r="C10" s="44"/>
      <c r="G10" s="44"/>
      <c r="H10" s="44"/>
      <c r="I10" s="44"/>
      <c r="J10" s="44"/>
      <c r="L10" s="332"/>
    </row>
    <row r="11" spans="1:13" x14ac:dyDescent="0.25">
      <c r="A11" s="44" t="s">
        <v>235</v>
      </c>
      <c r="B11" s="44"/>
      <c r="C11" s="44"/>
      <c r="G11" s="330">
        <f>SUM(G5:G9)</f>
        <v>45619</v>
      </c>
      <c r="H11" s="44"/>
      <c r="I11" s="330">
        <f>SUM(I5:I9)</f>
        <v>954</v>
      </c>
      <c r="J11" s="332">
        <f>+I11/12</f>
        <v>79.5</v>
      </c>
      <c r="L11" s="332"/>
    </row>
    <row r="12" spans="1:13" x14ac:dyDescent="0.25">
      <c r="A12" s="44"/>
      <c r="B12" s="44"/>
      <c r="C12" s="44"/>
      <c r="D12" s="44"/>
      <c r="E12" s="337" t="s">
        <v>1280</v>
      </c>
      <c r="F12" s="44"/>
      <c r="G12" s="44"/>
    </row>
    <row r="13" spans="1:13" x14ac:dyDescent="0.25">
      <c r="A13" s="44"/>
      <c r="B13" s="44"/>
      <c r="C13" s="44"/>
      <c r="E13" s="338">
        <f>+F5</f>
        <v>2019</v>
      </c>
      <c r="F13" s="337"/>
      <c r="G13" s="44"/>
    </row>
    <row r="14" spans="1:13" x14ac:dyDescent="0.25">
      <c r="A14" s="340" t="s">
        <v>275</v>
      </c>
      <c r="B14" s="44"/>
      <c r="C14" s="44"/>
      <c r="D14" s="341" t="s">
        <v>1282</v>
      </c>
      <c r="E14" s="342">
        <f>-(VLOOKUP(E13,$B$19:$E$95,4,0)-VLOOKUP(E13,$B$19:$E$95,3,0))</f>
        <v>79.5</v>
      </c>
      <c r="F14" s="342"/>
      <c r="G14" s="44"/>
    </row>
    <row r="15" spans="1:13" x14ac:dyDescent="0.25">
      <c r="A15" s="340" t="s">
        <v>1301</v>
      </c>
      <c r="B15" s="44"/>
      <c r="C15" s="44"/>
      <c r="D15" s="341" t="s">
        <v>1281</v>
      </c>
      <c r="E15" s="332">
        <f>-E14</f>
        <v>-79.5</v>
      </c>
      <c r="F15" s="332"/>
      <c r="G15" s="44"/>
    </row>
    <row r="16" spans="1:13" x14ac:dyDescent="0.25">
      <c r="A16" s="44"/>
      <c r="B16" s="44"/>
      <c r="C16" s="44"/>
      <c r="D16" s="44"/>
      <c r="E16" s="44"/>
      <c r="F16" s="44"/>
      <c r="G16" s="44"/>
    </row>
    <row r="18" spans="1:18" x14ac:dyDescent="0.25">
      <c r="D18" s="343" t="s">
        <v>1283</v>
      </c>
      <c r="E18" s="343" t="s">
        <v>1284</v>
      </c>
      <c r="F18" s="343" t="s">
        <v>1285</v>
      </c>
      <c r="G18" s="343" t="s">
        <v>1286</v>
      </c>
      <c r="H18" s="343" t="s">
        <v>1287</v>
      </c>
      <c r="I18" s="343" t="s">
        <v>1288</v>
      </c>
      <c r="J18" s="343" t="s">
        <v>1289</v>
      </c>
      <c r="K18" s="343" t="s">
        <v>1290</v>
      </c>
      <c r="L18" s="343" t="s">
        <v>1291</v>
      </c>
      <c r="M18" s="343" t="s">
        <v>1292</v>
      </c>
      <c r="N18" s="343" t="s">
        <v>1293</v>
      </c>
      <c r="O18" s="343" t="s">
        <v>1294</v>
      </c>
    </row>
    <row r="19" spans="1:18" x14ac:dyDescent="0.25">
      <c r="A19" s="327">
        <v>1</v>
      </c>
      <c r="B19" s="327">
        <v>2018</v>
      </c>
      <c r="C19" s="62">
        <f>HLOOKUP(B19,'FT Combined ARAM Summary'!$A$5:$CJ$14,10,0)</f>
        <v>812</v>
      </c>
      <c r="D19" s="347">
        <f>+G11-($C19/12)-$J$7-$J$9</f>
        <v>45551.333333333336</v>
      </c>
      <c r="E19" s="347">
        <f>+D19-($C19/12)-$J$7-$J$9</f>
        <v>45483.666666666672</v>
      </c>
      <c r="F19" s="347">
        <f t="shared" ref="F19:O19" si="0">+E19-($C19/12)-$J$7-$J$9</f>
        <v>45416.000000000007</v>
      </c>
      <c r="G19" s="347">
        <f t="shared" si="0"/>
        <v>45348.333333333343</v>
      </c>
      <c r="H19" s="347">
        <f t="shared" si="0"/>
        <v>45280.666666666679</v>
      </c>
      <c r="I19" s="347">
        <f t="shared" si="0"/>
        <v>45213.000000000015</v>
      </c>
      <c r="J19" s="347">
        <f t="shared" si="0"/>
        <v>45145.33333333335</v>
      </c>
      <c r="K19" s="347">
        <f t="shared" si="0"/>
        <v>45077.666666666686</v>
      </c>
      <c r="L19" s="347">
        <f t="shared" si="0"/>
        <v>45010.000000000022</v>
      </c>
      <c r="M19" s="347">
        <f t="shared" si="0"/>
        <v>44942.333333333358</v>
      </c>
      <c r="N19" s="347">
        <f t="shared" si="0"/>
        <v>44874.666666666693</v>
      </c>
      <c r="O19" s="347">
        <f t="shared" si="0"/>
        <v>44807.000000000029</v>
      </c>
      <c r="Q19" s="347">
        <f>O19-G11</f>
        <v>-811.9999999999709</v>
      </c>
    </row>
    <row r="20" spans="1:18" x14ac:dyDescent="0.25">
      <c r="A20" s="327">
        <v>2</v>
      </c>
      <c r="B20" s="327">
        <v>2019</v>
      </c>
      <c r="C20" s="62">
        <f>HLOOKUP(B20,'FT Combined ARAM Summary'!$A$5:$CJ$14,10,0)</f>
        <v>954</v>
      </c>
      <c r="D20" s="347">
        <f>+O19-($C20/12)-$J$7-$J$9</f>
        <v>44727.500000000029</v>
      </c>
      <c r="E20" s="347">
        <f t="shared" ref="E20:O23" si="1">+D20-($C20/12)-$J$7-$J$9</f>
        <v>44648.000000000029</v>
      </c>
      <c r="F20" s="347">
        <f t="shared" si="1"/>
        <v>44568.500000000029</v>
      </c>
      <c r="G20" s="347">
        <f t="shared" si="1"/>
        <v>44489.000000000029</v>
      </c>
      <c r="H20" s="347">
        <f t="shared" si="1"/>
        <v>44409.500000000029</v>
      </c>
      <c r="I20" s="347">
        <f t="shared" si="1"/>
        <v>44330.000000000029</v>
      </c>
      <c r="J20" s="347">
        <f t="shared" si="1"/>
        <v>44250.500000000029</v>
      </c>
      <c r="K20" s="347">
        <f t="shared" si="1"/>
        <v>44171.000000000029</v>
      </c>
      <c r="L20" s="347">
        <f t="shared" si="1"/>
        <v>44091.500000000029</v>
      </c>
      <c r="M20" s="347">
        <f t="shared" si="1"/>
        <v>44012.000000000029</v>
      </c>
      <c r="N20" s="347">
        <f t="shared" si="1"/>
        <v>43932.500000000029</v>
      </c>
      <c r="O20" s="347">
        <f t="shared" si="1"/>
        <v>43853.000000000029</v>
      </c>
      <c r="Q20" s="339"/>
    </row>
    <row r="21" spans="1:18" x14ac:dyDescent="0.25">
      <c r="A21" s="327">
        <v>3</v>
      </c>
      <c r="B21" s="327">
        <v>2020</v>
      </c>
      <c r="C21" s="62">
        <f>HLOOKUP(B21,'FT Combined ARAM Summary'!$A$5:$CJ$14,10,0)</f>
        <v>1053</v>
      </c>
      <c r="D21" s="347">
        <f>+O20-($C21/12)-$J$7-$J$9</f>
        <v>43765.250000000029</v>
      </c>
      <c r="E21" s="347">
        <f t="shared" si="1"/>
        <v>43677.500000000029</v>
      </c>
      <c r="F21" s="347">
        <f t="shared" si="1"/>
        <v>43589.750000000029</v>
      </c>
      <c r="G21" s="347">
        <f t="shared" si="1"/>
        <v>43502.000000000029</v>
      </c>
      <c r="H21" s="347">
        <f t="shared" si="1"/>
        <v>43414.250000000029</v>
      </c>
      <c r="I21" s="347">
        <f t="shared" si="1"/>
        <v>43326.500000000029</v>
      </c>
      <c r="J21" s="347">
        <f t="shared" si="1"/>
        <v>43238.750000000029</v>
      </c>
      <c r="K21" s="347">
        <f t="shared" si="1"/>
        <v>43151.000000000029</v>
      </c>
      <c r="L21" s="347">
        <f t="shared" si="1"/>
        <v>43063.250000000029</v>
      </c>
      <c r="M21" s="347">
        <f t="shared" si="1"/>
        <v>42975.500000000029</v>
      </c>
      <c r="N21" s="347">
        <f t="shared" si="1"/>
        <v>42887.750000000029</v>
      </c>
      <c r="O21" s="347">
        <f t="shared" si="1"/>
        <v>42800.000000000029</v>
      </c>
      <c r="Q21" s="347"/>
      <c r="R21" s="347"/>
    </row>
    <row r="22" spans="1:18" x14ac:dyDescent="0.25">
      <c r="A22" s="327">
        <v>4</v>
      </c>
      <c r="B22" s="327">
        <v>2021</v>
      </c>
      <c r="C22" s="62">
        <f>HLOOKUP(B22,'FT Combined ARAM Summary'!$A$5:$CJ$14,10,0)</f>
        <v>1211</v>
      </c>
      <c r="D22" s="347">
        <f t="shared" ref="D22:D23" si="2">+O21-($C22/12)-$J$7-$J$9</f>
        <v>42699.083333333365</v>
      </c>
      <c r="E22" s="347">
        <f t="shared" si="1"/>
        <v>42598.166666666701</v>
      </c>
      <c r="F22" s="347">
        <f t="shared" si="1"/>
        <v>42497.250000000036</v>
      </c>
      <c r="G22" s="347">
        <f t="shared" si="1"/>
        <v>42396.333333333372</v>
      </c>
      <c r="H22" s="347">
        <f t="shared" si="1"/>
        <v>42295.416666666708</v>
      </c>
      <c r="I22" s="347">
        <f t="shared" si="1"/>
        <v>42194.500000000044</v>
      </c>
      <c r="J22" s="347">
        <f t="shared" si="1"/>
        <v>42093.583333333379</v>
      </c>
      <c r="K22" s="347">
        <f t="shared" si="1"/>
        <v>41992.666666666715</v>
      </c>
      <c r="L22" s="347">
        <f t="shared" si="1"/>
        <v>41891.750000000051</v>
      </c>
      <c r="M22" s="347">
        <f t="shared" si="1"/>
        <v>41790.833333333387</v>
      </c>
      <c r="N22" s="347">
        <f t="shared" si="1"/>
        <v>41689.916666666722</v>
      </c>
      <c r="O22" s="347">
        <f t="shared" si="1"/>
        <v>41589.000000000058</v>
      </c>
    </row>
    <row r="23" spans="1:18" s="44" customFormat="1" x14ac:dyDescent="0.25">
      <c r="A23" s="44">
        <v>5</v>
      </c>
      <c r="B23" s="44">
        <v>2022</v>
      </c>
      <c r="C23" s="62">
        <f>HLOOKUP(B23,'FT Combined ARAM Summary'!$A$5:$CJ$14,10,0)</f>
        <v>1324</v>
      </c>
      <c r="D23" s="339">
        <f t="shared" si="2"/>
        <v>41478.666666666722</v>
      </c>
      <c r="E23" s="339">
        <f t="shared" si="1"/>
        <v>41368.333333333387</v>
      </c>
      <c r="F23" s="339">
        <f t="shared" si="1"/>
        <v>41258.000000000051</v>
      </c>
      <c r="G23" s="339">
        <f t="shared" si="1"/>
        <v>41147.666666666715</v>
      </c>
      <c r="H23" s="339">
        <f t="shared" si="1"/>
        <v>41037.333333333379</v>
      </c>
      <c r="I23" s="339">
        <f t="shared" si="1"/>
        <v>40927.000000000044</v>
      </c>
      <c r="J23" s="339">
        <f t="shared" si="1"/>
        <v>40816.666666666708</v>
      </c>
      <c r="K23" s="339">
        <f t="shared" si="1"/>
        <v>40706.333333333372</v>
      </c>
      <c r="L23" s="339">
        <f t="shared" si="1"/>
        <v>40596.000000000036</v>
      </c>
      <c r="M23" s="339">
        <f t="shared" si="1"/>
        <v>40485.666666666701</v>
      </c>
      <c r="N23" s="339">
        <f t="shared" si="1"/>
        <v>40375.333333333365</v>
      </c>
      <c r="O23" s="339">
        <f t="shared" si="1"/>
        <v>40265.000000000029</v>
      </c>
    </row>
    <row r="24" spans="1:18" x14ac:dyDescent="0.25">
      <c r="A24" s="327">
        <v>6</v>
      </c>
      <c r="B24" s="327">
        <v>2023</v>
      </c>
      <c r="C24" s="62">
        <f>HLOOKUP(B24,'FT Combined ARAM Summary'!$A$5:$CJ$14,10,0)</f>
        <v>1412</v>
      </c>
      <c r="D24" s="347">
        <f>+O23-($C24/12)-$J$7</f>
        <v>40147.333333333365</v>
      </c>
      <c r="E24" s="339">
        <f>+D24-($C24/12)-$J$7</f>
        <v>40029.666666666701</v>
      </c>
      <c r="F24" s="339">
        <f t="shared" ref="F24:O24" si="3">+E24-($C24/12)-$J$7</f>
        <v>39912.000000000036</v>
      </c>
      <c r="G24" s="339">
        <f t="shared" si="3"/>
        <v>39794.333333333372</v>
      </c>
      <c r="H24" s="339">
        <f t="shared" si="3"/>
        <v>39676.666666666708</v>
      </c>
      <c r="I24" s="339">
        <f t="shared" si="3"/>
        <v>39559.000000000044</v>
      </c>
      <c r="J24" s="339">
        <f t="shared" si="3"/>
        <v>39441.333333333379</v>
      </c>
      <c r="K24" s="339">
        <f t="shared" si="3"/>
        <v>39323.666666666715</v>
      </c>
      <c r="L24" s="339">
        <f t="shared" si="3"/>
        <v>39206.000000000051</v>
      </c>
      <c r="M24" s="339">
        <f t="shared" si="3"/>
        <v>39088.333333333387</v>
      </c>
      <c r="N24" s="339">
        <f t="shared" si="3"/>
        <v>38970.666666666722</v>
      </c>
      <c r="O24" s="339">
        <f t="shared" si="3"/>
        <v>38853.000000000058</v>
      </c>
    </row>
    <row r="25" spans="1:18" x14ac:dyDescent="0.25">
      <c r="A25" s="327">
        <v>7</v>
      </c>
      <c r="B25" s="327">
        <v>2024</v>
      </c>
      <c r="C25" s="62">
        <f>HLOOKUP(B25,'FT Combined ARAM Summary'!$A$5:$CJ$14,10,0)</f>
        <v>1433</v>
      </c>
      <c r="D25" s="347">
        <f t="shared" ref="D25:D47" si="4">+O24-($C25/12)-$J$7</f>
        <v>38733.583333333394</v>
      </c>
      <c r="E25" s="339">
        <f t="shared" ref="E25:O40" si="5">+D25-($C25/12)-$J$7</f>
        <v>38614.16666666673</v>
      </c>
      <c r="F25" s="339">
        <f t="shared" si="5"/>
        <v>38494.750000000065</v>
      </c>
      <c r="G25" s="339">
        <f t="shared" si="5"/>
        <v>38375.333333333401</v>
      </c>
      <c r="H25" s="339">
        <f t="shared" si="5"/>
        <v>38255.916666666737</v>
      </c>
      <c r="I25" s="339">
        <f t="shared" si="5"/>
        <v>38136.500000000073</v>
      </c>
      <c r="J25" s="339">
        <f t="shared" si="5"/>
        <v>38017.083333333409</v>
      </c>
      <c r="K25" s="339">
        <f t="shared" si="5"/>
        <v>37897.666666666744</v>
      </c>
      <c r="L25" s="339">
        <f t="shared" si="5"/>
        <v>37778.25000000008</v>
      </c>
      <c r="M25" s="339">
        <f t="shared" si="5"/>
        <v>37658.833333333416</v>
      </c>
      <c r="N25" s="339">
        <f t="shared" si="5"/>
        <v>37539.416666666752</v>
      </c>
      <c r="O25" s="339">
        <f t="shared" si="5"/>
        <v>37420.000000000087</v>
      </c>
    </row>
    <row r="26" spans="1:18" x14ac:dyDescent="0.25">
      <c r="A26" s="327">
        <v>8</v>
      </c>
      <c r="B26" s="327">
        <v>2025</v>
      </c>
      <c r="C26" s="62">
        <f>HLOOKUP(B26,'FT Combined ARAM Summary'!$A$5:$CJ$14,10,0)</f>
        <v>1434</v>
      </c>
      <c r="D26" s="347">
        <f t="shared" si="4"/>
        <v>37300.500000000087</v>
      </c>
      <c r="E26" s="339">
        <f t="shared" si="5"/>
        <v>37181.000000000087</v>
      </c>
      <c r="F26" s="339">
        <f t="shared" si="5"/>
        <v>37061.500000000087</v>
      </c>
      <c r="G26" s="339">
        <f t="shared" si="5"/>
        <v>36942.000000000087</v>
      </c>
      <c r="H26" s="339">
        <f t="shared" si="5"/>
        <v>36822.500000000087</v>
      </c>
      <c r="I26" s="339">
        <f t="shared" si="5"/>
        <v>36703.000000000087</v>
      </c>
      <c r="J26" s="339">
        <f t="shared" si="5"/>
        <v>36583.500000000087</v>
      </c>
      <c r="K26" s="339">
        <f t="shared" si="5"/>
        <v>36464.000000000087</v>
      </c>
      <c r="L26" s="339">
        <f t="shared" si="5"/>
        <v>36344.500000000087</v>
      </c>
      <c r="M26" s="339">
        <f t="shared" si="5"/>
        <v>36225.000000000087</v>
      </c>
      <c r="N26" s="339">
        <f t="shared" si="5"/>
        <v>36105.500000000087</v>
      </c>
      <c r="O26" s="339">
        <f t="shared" si="5"/>
        <v>35986.000000000087</v>
      </c>
    </row>
    <row r="27" spans="1:18" x14ac:dyDescent="0.25">
      <c r="A27" s="327">
        <v>9</v>
      </c>
      <c r="B27" s="327">
        <v>2026</v>
      </c>
      <c r="C27" s="62">
        <f>HLOOKUP(B27,'FT Combined ARAM Summary'!$A$5:$CJ$14,10,0)</f>
        <v>1434</v>
      </c>
      <c r="D27" s="347">
        <f t="shared" si="4"/>
        <v>35866.500000000087</v>
      </c>
      <c r="E27" s="339">
        <f t="shared" si="5"/>
        <v>35747.000000000087</v>
      </c>
      <c r="F27" s="339">
        <f t="shared" si="5"/>
        <v>35627.500000000087</v>
      </c>
      <c r="G27" s="339">
        <f t="shared" si="5"/>
        <v>35508.000000000087</v>
      </c>
      <c r="H27" s="339">
        <f t="shared" si="5"/>
        <v>35388.500000000087</v>
      </c>
      <c r="I27" s="339">
        <f t="shared" si="5"/>
        <v>35269.000000000087</v>
      </c>
      <c r="J27" s="339">
        <f t="shared" si="5"/>
        <v>35149.500000000087</v>
      </c>
      <c r="K27" s="339">
        <f t="shared" si="5"/>
        <v>35030.000000000087</v>
      </c>
      <c r="L27" s="339">
        <f t="shared" si="5"/>
        <v>34910.500000000087</v>
      </c>
      <c r="M27" s="339">
        <f t="shared" si="5"/>
        <v>34791.000000000087</v>
      </c>
      <c r="N27" s="339">
        <f t="shared" si="5"/>
        <v>34671.500000000087</v>
      </c>
      <c r="O27" s="339">
        <f t="shared" si="5"/>
        <v>34552.000000000087</v>
      </c>
    </row>
    <row r="28" spans="1:18" x14ac:dyDescent="0.25">
      <c r="A28" s="327">
        <v>10</v>
      </c>
      <c r="B28" s="327">
        <v>2027</v>
      </c>
      <c r="C28" s="62">
        <f>HLOOKUP(B28,'FT Combined ARAM Summary'!$A$5:$CJ$14,10,0)</f>
        <v>1434</v>
      </c>
      <c r="D28" s="347">
        <f t="shared" si="4"/>
        <v>34432.500000000087</v>
      </c>
      <c r="E28" s="339">
        <f t="shared" si="5"/>
        <v>34313.000000000087</v>
      </c>
      <c r="F28" s="339">
        <f t="shared" si="5"/>
        <v>34193.500000000087</v>
      </c>
      <c r="G28" s="339">
        <f t="shared" si="5"/>
        <v>34074.000000000087</v>
      </c>
      <c r="H28" s="339">
        <f t="shared" si="5"/>
        <v>33954.500000000087</v>
      </c>
      <c r="I28" s="339">
        <f t="shared" si="5"/>
        <v>33835.000000000087</v>
      </c>
      <c r="J28" s="339">
        <f t="shared" si="5"/>
        <v>33715.500000000087</v>
      </c>
      <c r="K28" s="339">
        <f t="shared" si="5"/>
        <v>33596.000000000087</v>
      </c>
      <c r="L28" s="339">
        <f t="shared" si="5"/>
        <v>33476.500000000087</v>
      </c>
      <c r="M28" s="339">
        <f t="shared" si="5"/>
        <v>33357.000000000087</v>
      </c>
      <c r="N28" s="339">
        <f t="shared" si="5"/>
        <v>33237.500000000087</v>
      </c>
      <c r="O28" s="339">
        <f t="shared" si="5"/>
        <v>33118.000000000087</v>
      </c>
    </row>
    <row r="29" spans="1:18" x14ac:dyDescent="0.25">
      <c r="A29" s="327">
        <v>11</v>
      </c>
      <c r="B29" s="327">
        <v>2028</v>
      </c>
      <c r="C29" s="62">
        <f>HLOOKUP(B29,'FT Combined ARAM Summary'!$A$5:$CJ$14,10,0)</f>
        <v>1434</v>
      </c>
      <c r="D29" s="347">
        <f t="shared" si="4"/>
        <v>32998.500000000087</v>
      </c>
      <c r="E29" s="339">
        <f t="shared" si="5"/>
        <v>32879.000000000087</v>
      </c>
      <c r="F29" s="339">
        <f t="shared" si="5"/>
        <v>32759.500000000087</v>
      </c>
      <c r="G29" s="339">
        <f t="shared" si="5"/>
        <v>32640.000000000087</v>
      </c>
      <c r="H29" s="339">
        <f t="shared" si="5"/>
        <v>32520.500000000087</v>
      </c>
      <c r="I29" s="339">
        <f t="shared" si="5"/>
        <v>32401.000000000087</v>
      </c>
      <c r="J29" s="339">
        <f t="shared" si="5"/>
        <v>32281.500000000087</v>
      </c>
      <c r="K29" s="339">
        <f t="shared" si="5"/>
        <v>32162.000000000087</v>
      </c>
      <c r="L29" s="339">
        <f t="shared" si="5"/>
        <v>32042.500000000087</v>
      </c>
      <c r="M29" s="339">
        <f t="shared" si="5"/>
        <v>31923.000000000087</v>
      </c>
      <c r="N29" s="339">
        <f t="shared" si="5"/>
        <v>31803.500000000087</v>
      </c>
      <c r="O29" s="339">
        <f t="shared" si="5"/>
        <v>31684.000000000087</v>
      </c>
    </row>
    <row r="30" spans="1:18" x14ac:dyDescent="0.25">
      <c r="A30" s="327">
        <v>12</v>
      </c>
      <c r="B30" s="327">
        <v>2029</v>
      </c>
      <c r="C30" s="62">
        <f>HLOOKUP(B30,'FT Combined ARAM Summary'!$A$5:$CJ$14,10,0)</f>
        <v>2102</v>
      </c>
      <c r="D30" s="347">
        <f t="shared" si="4"/>
        <v>31508.833333333419</v>
      </c>
      <c r="E30" s="339">
        <f t="shared" si="5"/>
        <v>31333.666666666752</v>
      </c>
      <c r="F30" s="339">
        <f t="shared" si="5"/>
        <v>31158.500000000084</v>
      </c>
      <c r="G30" s="339">
        <f t="shared" si="5"/>
        <v>30983.333333333416</v>
      </c>
      <c r="H30" s="339">
        <f t="shared" si="5"/>
        <v>30808.166666666748</v>
      </c>
      <c r="I30" s="339">
        <f t="shared" si="5"/>
        <v>30633.00000000008</v>
      </c>
      <c r="J30" s="339">
        <f t="shared" si="5"/>
        <v>30457.833333333412</v>
      </c>
      <c r="K30" s="339">
        <f t="shared" si="5"/>
        <v>30282.666666666744</v>
      </c>
      <c r="L30" s="339">
        <f t="shared" si="5"/>
        <v>30107.500000000076</v>
      </c>
      <c r="M30" s="339">
        <f t="shared" si="5"/>
        <v>29932.333333333409</v>
      </c>
      <c r="N30" s="339">
        <f t="shared" si="5"/>
        <v>29757.166666666741</v>
      </c>
      <c r="O30" s="339">
        <f t="shared" si="5"/>
        <v>29582.000000000073</v>
      </c>
    </row>
    <row r="31" spans="1:18" x14ac:dyDescent="0.25">
      <c r="A31" s="327">
        <v>13</v>
      </c>
      <c r="B31" s="327">
        <v>2030</v>
      </c>
      <c r="C31" s="62">
        <f>HLOOKUP(B31,'FT Combined ARAM Summary'!$A$5:$CJ$14,10,0)</f>
        <v>1840</v>
      </c>
      <c r="D31" s="347">
        <f t="shared" si="4"/>
        <v>29428.666666666741</v>
      </c>
      <c r="E31" s="339">
        <f t="shared" si="5"/>
        <v>29275.333333333409</v>
      </c>
      <c r="F31" s="339">
        <f t="shared" si="5"/>
        <v>29122.000000000076</v>
      </c>
      <c r="G31" s="339">
        <f t="shared" si="5"/>
        <v>28968.666666666744</v>
      </c>
      <c r="H31" s="339">
        <f t="shared" si="5"/>
        <v>28815.333333333412</v>
      </c>
      <c r="I31" s="339">
        <f t="shared" si="5"/>
        <v>28662.00000000008</v>
      </c>
      <c r="J31" s="339">
        <f t="shared" si="5"/>
        <v>28508.666666666748</v>
      </c>
      <c r="K31" s="339">
        <f t="shared" si="5"/>
        <v>28355.333333333416</v>
      </c>
      <c r="L31" s="339">
        <f t="shared" si="5"/>
        <v>28202.000000000084</v>
      </c>
      <c r="M31" s="339">
        <f t="shared" si="5"/>
        <v>28048.666666666752</v>
      </c>
      <c r="N31" s="339">
        <f t="shared" si="5"/>
        <v>27895.333333333419</v>
      </c>
      <c r="O31" s="339">
        <f t="shared" si="5"/>
        <v>27742.000000000087</v>
      </c>
    </row>
    <row r="32" spans="1:18" x14ac:dyDescent="0.25">
      <c r="A32" s="327">
        <v>14</v>
      </c>
      <c r="B32" s="327">
        <v>2031</v>
      </c>
      <c r="C32" s="62">
        <f>HLOOKUP(B32,'FT Combined ARAM Summary'!$A$5:$CJ$14,10,0)</f>
        <v>1086</v>
      </c>
      <c r="D32" s="347">
        <f t="shared" si="4"/>
        <v>27651.500000000087</v>
      </c>
      <c r="E32" s="339">
        <f t="shared" si="5"/>
        <v>27561.000000000087</v>
      </c>
      <c r="F32" s="339">
        <f t="shared" si="5"/>
        <v>27470.500000000087</v>
      </c>
      <c r="G32" s="339">
        <f t="shared" si="5"/>
        <v>27380.000000000087</v>
      </c>
      <c r="H32" s="339">
        <f t="shared" si="5"/>
        <v>27289.500000000087</v>
      </c>
      <c r="I32" s="339">
        <f t="shared" si="5"/>
        <v>27199.000000000087</v>
      </c>
      <c r="J32" s="339">
        <f t="shared" si="5"/>
        <v>27108.500000000087</v>
      </c>
      <c r="K32" s="339">
        <f t="shared" si="5"/>
        <v>27018.000000000087</v>
      </c>
      <c r="L32" s="339">
        <f t="shared" si="5"/>
        <v>26927.500000000087</v>
      </c>
      <c r="M32" s="339">
        <f t="shared" si="5"/>
        <v>26837.000000000087</v>
      </c>
      <c r="N32" s="339">
        <f t="shared" si="5"/>
        <v>26746.500000000087</v>
      </c>
      <c r="O32" s="339">
        <f t="shared" si="5"/>
        <v>26656.000000000087</v>
      </c>
    </row>
    <row r="33" spans="1:15" x14ac:dyDescent="0.25">
      <c r="A33" s="327">
        <v>15</v>
      </c>
      <c r="B33" s="327">
        <v>2032</v>
      </c>
      <c r="C33" s="62">
        <f>HLOOKUP(B33,'FT Combined ARAM Summary'!$A$5:$CJ$14,10,0)</f>
        <v>753</v>
      </c>
      <c r="D33" s="347">
        <f t="shared" si="4"/>
        <v>26593.250000000087</v>
      </c>
      <c r="E33" s="339">
        <f t="shared" si="5"/>
        <v>26530.500000000087</v>
      </c>
      <c r="F33" s="339">
        <f t="shared" si="5"/>
        <v>26467.750000000087</v>
      </c>
      <c r="G33" s="339">
        <f t="shared" si="5"/>
        <v>26405.000000000087</v>
      </c>
      <c r="H33" s="339">
        <f t="shared" si="5"/>
        <v>26342.250000000087</v>
      </c>
      <c r="I33" s="339">
        <f t="shared" si="5"/>
        <v>26279.500000000087</v>
      </c>
      <c r="J33" s="339">
        <f t="shared" si="5"/>
        <v>26216.750000000087</v>
      </c>
      <c r="K33" s="339">
        <f t="shared" si="5"/>
        <v>26154.000000000087</v>
      </c>
      <c r="L33" s="339">
        <f t="shared" si="5"/>
        <v>26091.250000000087</v>
      </c>
      <c r="M33" s="339">
        <f t="shared" si="5"/>
        <v>26028.500000000087</v>
      </c>
      <c r="N33" s="339">
        <f t="shared" si="5"/>
        <v>25965.750000000087</v>
      </c>
      <c r="O33" s="339">
        <f t="shared" si="5"/>
        <v>25903.000000000087</v>
      </c>
    </row>
    <row r="34" spans="1:15" x14ac:dyDescent="0.25">
      <c r="A34" s="327">
        <v>16</v>
      </c>
      <c r="B34" s="327">
        <v>2033</v>
      </c>
      <c r="C34" s="62">
        <f>HLOOKUP(B34,'FT Combined ARAM Summary'!$A$5:$CJ$14,10,0)</f>
        <v>753</v>
      </c>
      <c r="D34" s="347">
        <f t="shared" si="4"/>
        <v>25840.250000000087</v>
      </c>
      <c r="E34" s="339">
        <f t="shared" si="5"/>
        <v>25777.500000000087</v>
      </c>
      <c r="F34" s="339">
        <f t="shared" si="5"/>
        <v>25714.750000000087</v>
      </c>
      <c r="G34" s="339">
        <f t="shared" si="5"/>
        <v>25652.000000000087</v>
      </c>
      <c r="H34" s="339">
        <f t="shared" si="5"/>
        <v>25589.250000000087</v>
      </c>
      <c r="I34" s="339">
        <f t="shared" si="5"/>
        <v>25526.500000000087</v>
      </c>
      <c r="J34" s="339">
        <f t="shared" si="5"/>
        <v>25463.750000000087</v>
      </c>
      <c r="K34" s="339">
        <f t="shared" si="5"/>
        <v>25401.000000000087</v>
      </c>
      <c r="L34" s="339">
        <f t="shared" si="5"/>
        <v>25338.250000000087</v>
      </c>
      <c r="M34" s="339">
        <f t="shared" si="5"/>
        <v>25275.500000000087</v>
      </c>
      <c r="N34" s="339">
        <f t="shared" si="5"/>
        <v>25212.750000000087</v>
      </c>
      <c r="O34" s="339">
        <f t="shared" si="5"/>
        <v>25150.000000000087</v>
      </c>
    </row>
    <row r="35" spans="1:15" x14ac:dyDescent="0.25">
      <c r="A35" s="327">
        <v>17</v>
      </c>
      <c r="B35" s="327">
        <v>2034</v>
      </c>
      <c r="C35" s="62">
        <f>HLOOKUP(B35,'FT Combined ARAM Summary'!$A$5:$CJ$14,10,0)</f>
        <v>1018</v>
      </c>
      <c r="D35" s="347">
        <f t="shared" si="4"/>
        <v>25065.166666666755</v>
      </c>
      <c r="E35" s="339">
        <f t="shared" si="5"/>
        <v>24980.333333333423</v>
      </c>
      <c r="F35" s="339">
        <f t="shared" si="5"/>
        <v>24895.500000000091</v>
      </c>
      <c r="G35" s="339">
        <f t="shared" si="5"/>
        <v>24810.666666666759</v>
      </c>
      <c r="H35" s="339">
        <f t="shared" si="5"/>
        <v>24725.833333333427</v>
      </c>
      <c r="I35" s="339">
        <f t="shared" si="5"/>
        <v>24641.000000000095</v>
      </c>
      <c r="J35" s="339">
        <f t="shared" si="5"/>
        <v>24556.166666666762</v>
      </c>
      <c r="K35" s="339">
        <f t="shared" si="5"/>
        <v>24471.33333333343</v>
      </c>
      <c r="L35" s="339">
        <f t="shared" si="5"/>
        <v>24386.500000000098</v>
      </c>
      <c r="M35" s="339">
        <f t="shared" si="5"/>
        <v>24301.666666666766</v>
      </c>
      <c r="N35" s="339">
        <f t="shared" si="5"/>
        <v>24216.833333333434</v>
      </c>
      <c r="O35" s="339">
        <f t="shared" si="5"/>
        <v>24132.000000000102</v>
      </c>
    </row>
    <row r="36" spans="1:15" x14ac:dyDescent="0.25">
      <c r="A36" s="327">
        <v>18</v>
      </c>
      <c r="B36" s="327">
        <v>2035</v>
      </c>
      <c r="C36" s="62">
        <f>HLOOKUP(B36,'FT Combined ARAM Summary'!$A$5:$CJ$14,10,0)</f>
        <v>1344</v>
      </c>
      <c r="D36" s="347">
        <f t="shared" si="4"/>
        <v>24020.000000000102</v>
      </c>
      <c r="E36" s="339">
        <f t="shared" si="5"/>
        <v>23908.000000000102</v>
      </c>
      <c r="F36" s="339">
        <f t="shared" si="5"/>
        <v>23796.000000000102</v>
      </c>
      <c r="G36" s="339">
        <f t="shared" si="5"/>
        <v>23684.000000000102</v>
      </c>
      <c r="H36" s="339">
        <f t="shared" si="5"/>
        <v>23572.000000000102</v>
      </c>
      <c r="I36" s="339">
        <f t="shared" si="5"/>
        <v>23460.000000000102</v>
      </c>
      <c r="J36" s="339">
        <f t="shared" si="5"/>
        <v>23348.000000000102</v>
      </c>
      <c r="K36" s="339">
        <f t="shared" si="5"/>
        <v>23236.000000000102</v>
      </c>
      <c r="L36" s="339">
        <f t="shared" si="5"/>
        <v>23124.000000000102</v>
      </c>
      <c r="M36" s="339">
        <f t="shared" si="5"/>
        <v>23012.000000000102</v>
      </c>
      <c r="N36" s="339">
        <f t="shared" si="5"/>
        <v>22900.000000000102</v>
      </c>
      <c r="O36" s="339">
        <f t="shared" si="5"/>
        <v>22788.000000000102</v>
      </c>
    </row>
    <row r="37" spans="1:15" x14ac:dyDescent="0.25">
      <c r="A37" s="327">
        <v>19</v>
      </c>
      <c r="B37" s="327">
        <v>2036</v>
      </c>
      <c r="C37" s="62">
        <f>HLOOKUP(B37,'FT Combined ARAM Summary'!$A$5:$CJ$14,10,0)</f>
        <v>1841</v>
      </c>
      <c r="D37" s="347">
        <f t="shared" si="4"/>
        <v>22634.583333333434</v>
      </c>
      <c r="E37" s="339">
        <f t="shared" si="5"/>
        <v>22481.166666666766</v>
      </c>
      <c r="F37" s="339">
        <f t="shared" si="5"/>
        <v>22327.750000000098</v>
      </c>
      <c r="G37" s="339">
        <f t="shared" si="5"/>
        <v>22174.33333333343</v>
      </c>
      <c r="H37" s="339">
        <f t="shared" si="5"/>
        <v>22020.916666666762</v>
      </c>
      <c r="I37" s="339">
        <f t="shared" si="5"/>
        <v>21867.500000000095</v>
      </c>
      <c r="J37" s="339">
        <f t="shared" si="5"/>
        <v>21714.083333333427</v>
      </c>
      <c r="K37" s="339">
        <f t="shared" si="5"/>
        <v>21560.666666666759</v>
      </c>
      <c r="L37" s="339">
        <f t="shared" si="5"/>
        <v>21407.250000000091</v>
      </c>
      <c r="M37" s="339">
        <f t="shared" si="5"/>
        <v>21253.833333333423</v>
      </c>
      <c r="N37" s="339">
        <f t="shared" si="5"/>
        <v>21100.416666666755</v>
      </c>
      <c r="O37" s="339">
        <f t="shared" si="5"/>
        <v>20947.000000000087</v>
      </c>
    </row>
    <row r="38" spans="1:15" x14ac:dyDescent="0.25">
      <c r="A38" s="327">
        <v>20</v>
      </c>
      <c r="B38" s="327">
        <v>2037</v>
      </c>
      <c r="C38" s="62">
        <f>HLOOKUP(B38,'FT Combined ARAM Summary'!$A$5:$CJ$14,10,0)</f>
        <v>2189</v>
      </c>
      <c r="D38" s="347">
        <f t="shared" si="4"/>
        <v>20764.583333333419</v>
      </c>
      <c r="E38" s="339">
        <f t="shared" si="5"/>
        <v>20582.166666666752</v>
      </c>
      <c r="F38" s="339">
        <f t="shared" si="5"/>
        <v>20399.750000000084</v>
      </c>
      <c r="G38" s="339">
        <f t="shared" si="5"/>
        <v>20217.333333333416</v>
      </c>
      <c r="H38" s="339">
        <f t="shared" si="5"/>
        <v>20034.916666666748</v>
      </c>
      <c r="I38" s="339">
        <f t="shared" si="5"/>
        <v>19852.50000000008</v>
      </c>
      <c r="J38" s="339">
        <f t="shared" si="5"/>
        <v>19670.083333333412</v>
      </c>
      <c r="K38" s="339">
        <f t="shared" si="5"/>
        <v>19487.666666666744</v>
      </c>
      <c r="L38" s="339">
        <f t="shared" si="5"/>
        <v>19305.250000000076</v>
      </c>
      <c r="M38" s="339">
        <f t="shared" si="5"/>
        <v>19122.833333333409</v>
      </c>
      <c r="N38" s="339">
        <f t="shared" si="5"/>
        <v>18940.416666666741</v>
      </c>
      <c r="O38" s="339">
        <f t="shared" si="5"/>
        <v>18758.000000000073</v>
      </c>
    </row>
    <row r="39" spans="1:15" x14ac:dyDescent="0.25">
      <c r="A39" s="327">
        <v>21</v>
      </c>
      <c r="B39" s="327">
        <v>2038</v>
      </c>
      <c r="C39" s="62">
        <f>HLOOKUP(B39,'FT Combined ARAM Summary'!$A$5:$CJ$14,10,0)</f>
        <v>2203</v>
      </c>
      <c r="D39" s="347">
        <f t="shared" si="4"/>
        <v>18574.416666666741</v>
      </c>
      <c r="E39" s="339">
        <f t="shared" si="5"/>
        <v>18390.833333333409</v>
      </c>
      <c r="F39" s="339">
        <f t="shared" si="5"/>
        <v>18207.250000000076</v>
      </c>
      <c r="G39" s="339">
        <f t="shared" si="5"/>
        <v>18023.666666666744</v>
      </c>
      <c r="H39" s="339">
        <f t="shared" si="5"/>
        <v>17840.083333333412</v>
      </c>
      <c r="I39" s="339">
        <f t="shared" si="5"/>
        <v>17656.50000000008</v>
      </c>
      <c r="J39" s="339">
        <f t="shared" si="5"/>
        <v>17472.916666666748</v>
      </c>
      <c r="K39" s="339">
        <f t="shared" si="5"/>
        <v>17289.333333333416</v>
      </c>
      <c r="L39" s="339">
        <f t="shared" si="5"/>
        <v>17105.750000000084</v>
      </c>
      <c r="M39" s="339">
        <f t="shared" si="5"/>
        <v>16922.166666666752</v>
      </c>
      <c r="N39" s="339">
        <f t="shared" si="5"/>
        <v>16738.583333333419</v>
      </c>
      <c r="O39" s="339">
        <f t="shared" si="5"/>
        <v>16555.000000000087</v>
      </c>
    </row>
    <row r="40" spans="1:15" x14ac:dyDescent="0.25">
      <c r="A40" s="327">
        <v>22</v>
      </c>
      <c r="B40" s="327">
        <v>2039</v>
      </c>
      <c r="C40" s="62">
        <f>HLOOKUP(B40,'FT Combined ARAM Summary'!$A$5:$CJ$14,10,0)</f>
        <v>2203</v>
      </c>
      <c r="D40" s="347">
        <f t="shared" si="4"/>
        <v>16371.416666666753</v>
      </c>
      <c r="E40" s="339">
        <f t="shared" si="5"/>
        <v>16187.833333333419</v>
      </c>
      <c r="F40" s="339">
        <f t="shared" si="5"/>
        <v>16004.250000000085</v>
      </c>
      <c r="G40" s="339">
        <f t="shared" si="5"/>
        <v>15820.666666666752</v>
      </c>
      <c r="H40" s="339">
        <f t="shared" si="5"/>
        <v>15637.083333333418</v>
      </c>
      <c r="I40" s="339">
        <f t="shared" si="5"/>
        <v>15453.500000000084</v>
      </c>
      <c r="J40" s="339">
        <f t="shared" si="5"/>
        <v>15269.91666666675</v>
      </c>
      <c r="K40" s="339">
        <f t="shared" si="5"/>
        <v>15086.333333333416</v>
      </c>
      <c r="L40" s="339">
        <f t="shared" si="5"/>
        <v>14902.750000000082</v>
      </c>
      <c r="M40" s="339">
        <f t="shared" si="5"/>
        <v>14719.166666666748</v>
      </c>
      <c r="N40" s="339">
        <f t="shared" si="5"/>
        <v>14535.583333333414</v>
      </c>
      <c r="O40" s="339">
        <f t="shared" si="5"/>
        <v>14352.00000000008</v>
      </c>
    </row>
    <row r="41" spans="1:15" x14ac:dyDescent="0.25">
      <c r="A41" s="327">
        <v>23</v>
      </c>
      <c r="B41" s="327">
        <v>2040</v>
      </c>
      <c r="C41" s="62">
        <f>HLOOKUP(B41,'FT Combined ARAM Summary'!$A$5:$CJ$14,10,0)</f>
        <v>2203</v>
      </c>
      <c r="D41" s="347">
        <f t="shared" si="4"/>
        <v>14168.416666666746</v>
      </c>
      <c r="E41" s="339">
        <f t="shared" ref="E41:O47" si="6">+D41-($C41/12)-$J$7</f>
        <v>13984.833333333412</v>
      </c>
      <c r="F41" s="339">
        <f t="shared" si="6"/>
        <v>13801.250000000078</v>
      </c>
      <c r="G41" s="339">
        <f t="shared" si="6"/>
        <v>13617.666666666744</v>
      </c>
      <c r="H41" s="339">
        <f t="shared" si="6"/>
        <v>13434.08333333341</v>
      </c>
      <c r="I41" s="339">
        <f t="shared" si="6"/>
        <v>13250.500000000076</v>
      </c>
      <c r="J41" s="339">
        <f t="shared" si="6"/>
        <v>13066.916666666742</v>
      </c>
      <c r="K41" s="339">
        <f t="shared" si="6"/>
        <v>12883.333333333409</v>
      </c>
      <c r="L41" s="339">
        <f t="shared" si="6"/>
        <v>12699.750000000075</v>
      </c>
      <c r="M41" s="339">
        <f t="shared" si="6"/>
        <v>12516.166666666741</v>
      </c>
      <c r="N41" s="339">
        <f t="shared" si="6"/>
        <v>12332.583333333407</v>
      </c>
      <c r="O41" s="339">
        <f t="shared" si="6"/>
        <v>12149.000000000073</v>
      </c>
    </row>
    <row r="42" spans="1:15" x14ac:dyDescent="0.25">
      <c r="A42" s="327">
        <v>24</v>
      </c>
      <c r="B42" s="327">
        <v>2041</v>
      </c>
      <c r="C42" s="62">
        <f>HLOOKUP(B42,'FT Combined ARAM Summary'!$A$5:$CJ$14,10,0)</f>
        <v>2203</v>
      </c>
      <c r="D42" s="347">
        <f t="shared" si="4"/>
        <v>11965.416666666739</v>
      </c>
      <c r="E42" s="339">
        <f t="shared" si="6"/>
        <v>11781.833333333405</v>
      </c>
      <c r="F42" s="339">
        <f t="shared" si="6"/>
        <v>11598.250000000071</v>
      </c>
      <c r="G42" s="339">
        <f t="shared" si="6"/>
        <v>11414.666666666737</v>
      </c>
      <c r="H42" s="339">
        <f t="shared" si="6"/>
        <v>11231.083333333403</v>
      </c>
      <c r="I42" s="339">
        <f t="shared" si="6"/>
        <v>11047.500000000069</v>
      </c>
      <c r="J42" s="339">
        <f t="shared" si="6"/>
        <v>10863.916666666735</v>
      </c>
      <c r="K42" s="339">
        <f t="shared" si="6"/>
        <v>10680.333333333401</v>
      </c>
      <c r="L42" s="339">
        <f t="shared" si="6"/>
        <v>10496.750000000067</v>
      </c>
      <c r="M42" s="339">
        <f t="shared" si="6"/>
        <v>10313.166666666733</v>
      </c>
      <c r="N42" s="339">
        <f t="shared" si="6"/>
        <v>10129.583333333399</v>
      </c>
      <c r="O42" s="339">
        <f t="shared" si="6"/>
        <v>9946.0000000000655</v>
      </c>
    </row>
    <row r="43" spans="1:15" x14ac:dyDescent="0.25">
      <c r="A43" s="327">
        <v>25</v>
      </c>
      <c r="B43" s="327">
        <v>2042</v>
      </c>
      <c r="C43" s="62">
        <f>HLOOKUP(B43,'FT Combined ARAM Summary'!$A$5:$CJ$14,10,0)</f>
        <v>1547</v>
      </c>
      <c r="D43" s="347">
        <f t="shared" si="4"/>
        <v>9817.0833333333994</v>
      </c>
      <c r="E43" s="339">
        <f t="shared" si="6"/>
        <v>9688.1666666667334</v>
      </c>
      <c r="F43" s="339">
        <f t="shared" si="6"/>
        <v>9559.2500000000673</v>
      </c>
      <c r="G43" s="339">
        <f t="shared" si="6"/>
        <v>9430.3333333334012</v>
      </c>
      <c r="H43" s="339">
        <f t="shared" si="6"/>
        <v>9301.4166666667352</v>
      </c>
      <c r="I43" s="339">
        <f t="shared" si="6"/>
        <v>9172.5000000000691</v>
      </c>
      <c r="J43" s="339">
        <f t="shared" si="6"/>
        <v>9043.5833333334031</v>
      </c>
      <c r="K43" s="339">
        <f t="shared" si="6"/>
        <v>8914.666666666737</v>
      </c>
      <c r="L43" s="339">
        <f t="shared" si="6"/>
        <v>8785.7500000000709</v>
      </c>
      <c r="M43" s="339">
        <f t="shared" si="6"/>
        <v>8656.8333333334049</v>
      </c>
      <c r="N43" s="339">
        <f t="shared" si="6"/>
        <v>8527.9166666667388</v>
      </c>
      <c r="O43" s="339">
        <f t="shared" si="6"/>
        <v>8399.0000000000728</v>
      </c>
    </row>
    <row r="44" spans="1:15" x14ac:dyDescent="0.25">
      <c r="A44" s="327">
        <v>26</v>
      </c>
      <c r="B44" s="327">
        <v>2043</v>
      </c>
      <c r="C44" s="62">
        <f>HLOOKUP(B44,'FT Combined ARAM Summary'!$A$5:$CJ$14,10,0)</f>
        <v>1332</v>
      </c>
      <c r="D44" s="347">
        <f t="shared" si="4"/>
        <v>8288.0000000000728</v>
      </c>
      <c r="E44" s="339">
        <f t="shared" si="6"/>
        <v>8177.0000000000728</v>
      </c>
      <c r="F44" s="339">
        <f t="shared" si="6"/>
        <v>8066.0000000000728</v>
      </c>
      <c r="G44" s="339">
        <f t="shared" si="6"/>
        <v>7955.0000000000728</v>
      </c>
      <c r="H44" s="339">
        <f t="shared" si="6"/>
        <v>7844.0000000000728</v>
      </c>
      <c r="I44" s="339">
        <f t="shared" si="6"/>
        <v>7733.0000000000728</v>
      </c>
      <c r="J44" s="339">
        <f t="shared" si="6"/>
        <v>7622.0000000000728</v>
      </c>
      <c r="K44" s="339">
        <f t="shared" si="6"/>
        <v>7511.0000000000728</v>
      </c>
      <c r="L44" s="339">
        <f t="shared" si="6"/>
        <v>7400.0000000000728</v>
      </c>
      <c r="M44" s="339">
        <f t="shared" si="6"/>
        <v>7289.0000000000728</v>
      </c>
      <c r="N44" s="339">
        <f t="shared" si="6"/>
        <v>7178.0000000000728</v>
      </c>
      <c r="O44" s="339">
        <f t="shared" si="6"/>
        <v>7067.0000000000728</v>
      </c>
    </row>
    <row r="45" spans="1:15" x14ac:dyDescent="0.25">
      <c r="A45" s="327">
        <v>27</v>
      </c>
      <c r="B45" s="327">
        <v>2044</v>
      </c>
      <c r="C45" s="62">
        <f>HLOOKUP(B45,'FT Combined ARAM Summary'!$A$5:$CJ$14,10,0)</f>
        <v>1332</v>
      </c>
      <c r="D45" s="347">
        <f t="shared" si="4"/>
        <v>6956.0000000000728</v>
      </c>
      <c r="E45" s="339">
        <f t="shared" si="6"/>
        <v>6845.0000000000728</v>
      </c>
      <c r="F45" s="339">
        <f t="shared" si="6"/>
        <v>6734.0000000000728</v>
      </c>
      <c r="G45" s="339">
        <f t="shared" si="6"/>
        <v>6623.0000000000728</v>
      </c>
      <c r="H45" s="339">
        <f t="shared" si="6"/>
        <v>6512.0000000000728</v>
      </c>
      <c r="I45" s="339">
        <f t="shared" si="6"/>
        <v>6401.0000000000728</v>
      </c>
      <c r="J45" s="339">
        <f t="shared" si="6"/>
        <v>6290.0000000000728</v>
      </c>
      <c r="K45" s="339">
        <f t="shared" si="6"/>
        <v>6179.0000000000728</v>
      </c>
      <c r="L45" s="339">
        <f t="shared" si="6"/>
        <v>6068.0000000000728</v>
      </c>
      <c r="M45" s="339">
        <f t="shared" si="6"/>
        <v>5957.0000000000728</v>
      </c>
      <c r="N45" s="339">
        <f t="shared" si="6"/>
        <v>5846.0000000000728</v>
      </c>
      <c r="O45" s="339">
        <f t="shared" si="6"/>
        <v>5735.0000000000728</v>
      </c>
    </row>
    <row r="46" spans="1:15" x14ac:dyDescent="0.25">
      <c r="A46" s="327">
        <v>28</v>
      </c>
      <c r="B46" s="327">
        <v>2045</v>
      </c>
      <c r="C46" s="62">
        <f>HLOOKUP(B46,'FT Combined ARAM Summary'!$A$5:$CJ$14,10,0)</f>
        <v>1332</v>
      </c>
      <c r="D46" s="347">
        <f t="shared" si="4"/>
        <v>5624.0000000000728</v>
      </c>
      <c r="E46" s="339">
        <f t="shared" si="6"/>
        <v>5513.0000000000728</v>
      </c>
      <c r="F46" s="339">
        <f t="shared" si="6"/>
        <v>5402.0000000000728</v>
      </c>
      <c r="G46" s="339">
        <f t="shared" si="6"/>
        <v>5291.0000000000728</v>
      </c>
      <c r="H46" s="339">
        <f t="shared" si="6"/>
        <v>5180.0000000000728</v>
      </c>
      <c r="I46" s="339">
        <f t="shared" si="6"/>
        <v>5069.0000000000728</v>
      </c>
      <c r="J46" s="339">
        <f t="shared" si="6"/>
        <v>4958.0000000000728</v>
      </c>
      <c r="K46" s="339">
        <f t="shared" si="6"/>
        <v>4847.0000000000728</v>
      </c>
      <c r="L46" s="339">
        <f t="shared" si="6"/>
        <v>4736.0000000000728</v>
      </c>
      <c r="M46" s="339">
        <f t="shared" si="6"/>
        <v>4625.0000000000728</v>
      </c>
      <c r="N46" s="339">
        <f t="shared" si="6"/>
        <v>4514.0000000000728</v>
      </c>
      <c r="O46" s="339">
        <f t="shared" si="6"/>
        <v>4403.0000000000728</v>
      </c>
    </row>
    <row r="47" spans="1:15" s="91" customFormat="1" x14ac:dyDescent="0.25">
      <c r="A47" s="91">
        <v>29</v>
      </c>
      <c r="B47" s="91">
        <v>2046</v>
      </c>
      <c r="C47" s="62">
        <f>HLOOKUP(B47,'FT Combined ARAM Summary'!$A$5:$CJ$14,10,0)</f>
        <v>1332</v>
      </c>
      <c r="D47" s="351">
        <f t="shared" si="4"/>
        <v>4292.0000000000728</v>
      </c>
      <c r="E47" s="351">
        <f t="shared" si="6"/>
        <v>4181.0000000000728</v>
      </c>
      <c r="F47" s="351">
        <f t="shared" si="6"/>
        <v>4070.0000000000728</v>
      </c>
      <c r="G47" s="351">
        <f t="shared" si="6"/>
        <v>3959.0000000000728</v>
      </c>
      <c r="H47" s="351">
        <f t="shared" si="6"/>
        <v>3848.0000000000728</v>
      </c>
      <c r="I47" s="351">
        <f t="shared" si="6"/>
        <v>3737.0000000000728</v>
      </c>
      <c r="J47" s="351">
        <f t="shared" si="6"/>
        <v>3626.0000000000728</v>
      </c>
      <c r="K47" s="351">
        <f t="shared" si="6"/>
        <v>3515.0000000000728</v>
      </c>
      <c r="L47" s="351">
        <f t="shared" si="6"/>
        <v>3404.0000000000728</v>
      </c>
      <c r="M47" s="351">
        <f t="shared" si="6"/>
        <v>3293.0000000000728</v>
      </c>
      <c r="N47" s="351">
        <f t="shared" si="6"/>
        <v>3182.0000000000728</v>
      </c>
      <c r="O47" s="351">
        <f t="shared" si="6"/>
        <v>3071.0000000000728</v>
      </c>
    </row>
    <row r="48" spans="1:15" x14ac:dyDescent="0.25">
      <c r="A48" s="91">
        <v>30</v>
      </c>
      <c r="B48" s="327">
        <v>2047</v>
      </c>
      <c r="C48" s="62">
        <f>HLOOKUP(B48,'FT Combined ARAM Summary'!$A$5:$CJ$14,10,0)</f>
        <v>834</v>
      </c>
      <c r="D48" s="347">
        <f>+O47-($C48/12)</f>
        <v>3001.5000000000728</v>
      </c>
      <c r="E48" s="339">
        <f>+D48-($C48/12)</f>
        <v>2932.0000000000728</v>
      </c>
      <c r="F48" s="339">
        <f t="shared" ref="F48:O48" si="7">+E48-($C48/12)</f>
        <v>2862.5000000000728</v>
      </c>
      <c r="G48" s="339">
        <f t="shared" si="7"/>
        <v>2793.0000000000728</v>
      </c>
      <c r="H48" s="339">
        <f t="shared" si="7"/>
        <v>2723.5000000000728</v>
      </c>
      <c r="I48" s="339">
        <f t="shared" si="7"/>
        <v>2654.0000000000728</v>
      </c>
      <c r="J48" s="339">
        <f t="shared" si="7"/>
        <v>2584.5000000000728</v>
      </c>
      <c r="K48" s="339">
        <f t="shared" si="7"/>
        <v>2515.0000000000728</v>
      </c>
      <c r="L48" s="339">
        <f t="shared" si="7"/>
        <v>2445.5000000000728</v>
      </c>
      <c r="M48" s="339">
        <f t="shared" si="7"/>
        <v>2376.0000000000728</v>
      </c>
      <c r="N48" s="339">
        <f t="shared" si="7"/>
        <v>2306.5000000000728</v>
      </c>
      <c r="O48" s="339">
        <f t="shared" si="7"/>
        <v>2237.0000000000728</v>
      </c>
    </row>
    <row r="49" spans="1:15" x14ac:dyDescent="0.25">
      <c r="A49" s="91">
        <v>31</v>
      </c>
      <c r="B49" s="327">
        <v>2048</v>
      </c>
      <c r="C49" s="62">
        <f>HLOOKUP(B49,'FT Combined ARAM Summary'!$A$5:$CJ$14,10,0)</f>
        <v>399</v>
      </c>
      <c r="D49" s="347">
        <f t="shared" ref="D49:D101" si="8">+O48-($C49/12)</f>
        <v>2203.7500000000728</v>
      </c>
      <c r="E49" s="339">
        <f t="shared" ref="E49:O64" si="9">+D49-($C49/12)</f>
        <v>2170.5000000000728</v>
      </c>
      <c r="F49" s="339">
        <f t="shared" si="9"/>
        <v>2137.2500000000728</v>
      </c>
      <c r="G49" s="339">
        <f t="shared" si="9"/>
        <v>2104.0000000000728</v>
      </c>
      <c r="H49" s="339">
        <f t="shared" si="9"/>
        <v>2070.7500000000728</v>
      </c>
      <c r="I49" s="339">
        <f t="shared" si="9"/>
        <v>2037.5000000000728</v>
      </c>
      <c r="J49" s="339">
        <f t="shared" si="9"/>
        <v>2004.2500000000728</v>
      </c>
      <c r="K49" s="339">
        <f t="shared" si="9"/>
        <v>1971.0000000000728</v>
      </c>
      <c r="L49" s="339">
        <f t="shared" si="9"/>
        <v>1937.7500000000728</v>
      </c>
      <c r="M49" s="339">
        <f t="shared" si="9"/>
        <v>1904.5000000000728</v>
      </c>
      <c r="N49" s="339">
        <f t="shared" si="9"/>
        <v>1871.2500000000728</v>
      </c>
      <c r="O49" s="339">
        <f t="shared" si="9"/>
        <v>1838.0000000000728</v>
      </c>
    </row>
    <row r="50" spans="1:15" x14ac:dyDescent="0.25">
      <c r="A50" s="91">
        <v>32</v>
      </c>
      <c r="B50" s="327">
        <v>2049</v>
      </c>
      <c r="C50" s="62">
        <f>HLOOKUP(B50,'FT Combined ARAM Summary'!$A$5:$CJ$14,10,0)</f>
        <v>399</v>
      </c>
      <c r="D50" s="347">
        <f t="shared" si="8"/>
        <v>1804.7500000000728</v>
      </c>
      <c r="E50" s="339">
        <f t="shared" si="9"/>
        <v>1771.5000000000728</v>
      </c>
      <c r="F50" s="339">
        <f t="shared" si="9"/>
        <v>1738.2500000000728</v>
      </c>
      <c r="G50" s="339">
        <f t="shared" si="9"/>
        <v>1705.0000000000728</v>
      </c>
      <c r="H50" s="339">
        <f t="shared" si="9"/>
        <v>1671.7500000000728</v>
      </c>
      <c r="I50" s="339">
        <f t="shared" si="9"/>
        <v>1638.5000000000728</v>
      </c>
      <c r="J50" s="339">
        <f t="shared" si="9"/>
        <v>1605.2500000000728</v>
      </c>
      <c r="K50" s="339">
        <f t="shared" si="9"/>
        <v>1572.0000000000728</v>
      </c>
      <c r="L50" s="339">
        <f t="shared" si="9"/>
        <v>1538.7500000000728</v>
      </c>
      <c r="M50" s="339">
        <f t="shared" si="9"/>
        <v>1505.5000000000728</v>
      </c>
      <c r="N50" s="339">
        <f t="shared" si="9"/>
        <v>1472.2500000000728</v>
      </c>
      <c r="O50" s="339">
        <f t="shared" si="9"/>
        <v>1439.0000000000728</v>
      </c>
    </row>
    <row r="51" spans="1:15" x14ac:dyDescent="0.25">
      <c r="A51" s="91">
        <v>33</v>
      </c>
      <c r="B51" s="327">
        <v>2050</v>
      </c>
      <c r="C51" s="62">
        <f>HLOOKUP(B51,'FT Combined ARAM Summary'!$A$5:$CJ$14,10,0)</f>
        <v>399</v>
      </c>
      <c r="D51" s="347">
        <f t="shared" si="8"/>
        <v>1405.7500000000728</v>
      </c>
      <c r="E51" s="339">
        <f t="shared" si="9"/>
        <v>1372.5000000000728</v>
      </c>
      <c r="F51" s="339">
        <f t="shared" si="9"/>
        <v>1339.2500000000728</v>
      </c>
      <c r="G51" s="339">
        <f t="shared" si="9"/>
        <v>1306.0000000000728</v>
      </c>
      <c r="H51" s="339">
        <f t="shared" si="9"/>
        <v>1272.7500000000728</v>
      </c>
      <c r="I51" s="339">
        <f t="shared" si="9"/>
        <v>1239.5000000000728</v>
      </c>
      <c r="J51" s="339">
        <f t="shared" si="9"/>
        <v>1206.2500000000728</v>
      </c>
      <c r="K51" s="339">
        <f t="shared" si="9"/>
        <v>1173.0000000000728</v>
      </c>
      <c r="L51" s="339">
        <f t="shared" si="9"/>
        <v>1139.7500000000728</v>
      </c>
      <c r="M51" s="339">
        <f t="shared" si="9"/>
        <v>1106.5000000000728</v>
      </c>
      <c r="N51" s="339">
        <f t="shared" si="9"/>
        <v>1073.2500000000728</v>
      </c>
      <c r="O51" s="339">
        <f t="shared" si="9"/>
        <v>1040.0000000000728</v>
      </c>
    </row>
    <row r="52" spans="1:15" x14ac:dyDescent="0.25">
      <c r="A52" s="91">
        <v>34</v>
      </c>
      <c r="B52" s="327">
        <v>2051</v>
      </c>
      <c r="C52" s="62">
        <f>HLOOKUP(B52,'FT Combined ARAM Summary'!$A$5:$CJ$14,10,0)</f>
        <v>322</v>
      </c>
      <c r="D52" s="347">
        <f t="shared" si="8"/>
        <v>1013.1666666667394</v>
      </c>
      <c r="E52" s="339">
        <f t="shared" si="9"/>
        <v>986.33333333340602</v>
      </c>
      <c r="F52" s="339">
        <f t="shared" si="9"/>
        <v>959.50000000007265</v>
      </c>
      <c r="G52" s="339">
        <f t="shared" si="9"/>
        <v>932.66666666673927</v>
      </c>
      <c r="H52" s="339">
        <f t="shared" si="9"/>
        <v>905.8333333334059</v>
      </c>
      <c r="I52" s="339">
        <f t="shared" si="9"/>
        <v>879.00000000007253</v>
      </c>
      <c r="J52" s="339">
        <f t="shared" si="9"/>
        <v>852.16666666673916</v>
      </c>
      <c r="K52" s="339">
        <f t="shared" si="9"/>
        <v>825.33333333340579</v>
      </c>
      <c r="L52" s="339">
        <f t="shared" si="9"/>
        <v>798.50000000007242</v>
      </c>
      <c r="M52" s="339">
        <f t="shared" si="9"/>
        <v>771.66666666673905</v>
      </c>
      <c r="N52" s="339">
        <f t="shared" si="9"/>
        <v>744.83333333340568</v>
      </c>
      <c r="O52" s="339">
        <f t="shared" si="9"/>
        <v>718.0000000000723</v>
      </c>
    </row>
    <row r="53" spans="1:15" x14ac:dyDescent="0.25">
      <c r="A53" s="91">
        <v>35</v>
      </c>
      <c r="B53" s="327">
        <v>2052</v>
      </c>
      <c r="C53" s="62">
        <f>HLOOKUP(B53,'FT Combined ARAM Summary'!$A$5:$CJ$14,10,0)</f>
        <v>143</v>
      </c>
      <c r="D53" s="347">
        <f t="shared" si="8"/>
        <v>706.08333333340568</v>
      </c>
      <c r="E53" s="339">
        <f t="shared" si="9"/>
        <v>694.16666666673905</v>
      </c>
      <c r="F53" s="339">
        <f t="shared" si="9"/>
        <v>682.25000000007242</v>
      </c>
      <c r="G53" s="339">
        <f t="shared" si="9"/>
        <v>670.33333333340579</v>
      </c>
      <c r="H53" s="339">
        <f t="shared" si="9"/>
        <v>658.41666666673916</v>
      </c>
      <c r="I53" s="339">
        <f t="shared" si="9"/>
        <v>646.50000000007253</v>
      </c>
      <c r="J53" s="339">
        <f t="shared" si="9"/>
        <v>634.5833333334059</v>
      </c>
      <c r="K53" s="339">
        <f t="shared" si="9"/>
        <v>622.66666666673927</v>
      </c>
      <c r="L53" s="339">
        <f t="shared" si="9"/>
        <v>610.75000000007265</v>
      </c>
      <c r="M53" s="339">
        <f t="shared" si="9"/>
        <v>598.83333333340602</v>
      </c>
      <c r="N53" s="339">
        <f t="shared" si="9"/>
        <v>586.91666666673939</v>
      </c>
      <c r="O53" s="339">
        <f t="shared" si="9"/>
        <v>575.00000000007276</v>
      </c>
    </row>
    <row r="54" spans="1:15" x14ac:dyDescent="0.25">
      <c r="A54" s="91">
        <v>36</v>
      </c>
      <c r="B54" s="327">
        <v>2053</v>
      </c>
      <c r="C54" s="62">
        <f>HLOOKUP(B54,'FT Combined ARAM Summary'!$A$5:$CJ$14,10,0)</f>
        <v>142</v>
      </c>
      <c r="D54" s="347">
        <f t="shared" si="8"/>
        <v>563.16666666673939</v>
      </c>
      <c r="E54" s="339">
        <f t="shared" si="9"/>
        <v>551.33333333340602</v>
      </c>
      <c r="F54" s="339">
        <f t="shared" si="9"/>
        <v>539.50000000007265</v>
      </c>
      <c r="G54" s="339">
        <f t="shared" si="9"/>
        <v>527.66666666673927</v>
      </c>
      <c r="H54" s="339">
        <f t="shared" si="9"/>
        <v>515.8333333334059</v>
      </c>
      <c r="I54" s="339">
        <f t="shared" si="9"/>
        <v>504.00000000007259</v>
      </c>
      <c r="J54" s="339">
        <f t="shared" si="9"/>
        <v>492.16666666673927</v>
      </c>
      <c r="K54" s="339">
        <f t="shared" si="9"/>
        <v>480.33333333340596</v>
      </c>
      <c r="L54" s="339">
        <f t="shared" si="9"/>
        <v>468.50000000007265</v>
      </c>
      <c r="M54" s="339">
        <f t="shared" si="9"/>
        <v>456.66666666673933</v>
      </c>
      <c r="N54" s="339">
        <f t="shared" si="9"/>
        <v>444.83333333340602</v>
      </c>
      <c r="O54" s="339">
        <f t="shared" si="9"/>
        <v>433.0000000000727</v>
      </c>
    </row>
    <row r="55" spans="1:15" x14ac:dyDescent="0.25">
      <c r="A55" s="91">
        <v>37</v>
      </c>
      <c r="B55" s="327">
        <v>2054</v>
      </c>
      <c r="C55" s="62">
        <f>HLOOKUP(B55,'FT Combined ARAM Summary'!$A$5:$CJ$14,10,0)</f>
        <v>142</v>
      </c>
      <c r="D55" s="347">
        <f t="shared" si="8"/>
        <v>421.16666666673939</v>
      </c>
      <c r="E55" s="339">
        <f t="shared" si="9"/>
        <v>409.33333333340607</v>
      </c>
      <c r="F55" s="339">
        <f t="shared" si="9"/>
        <v>397.50000000007276</v>
      </c>
      <c r="G55" s="339">
        <f t="shared" si="9"/>
        <v>385.66666666673945</v>
      </c>
      <c r="H55" s="339">
        <f t="shared" si="9"/>
        <v>373.83333333340613</v>
      </c>
      <c r="I55" s="339">
        <f t="shared" si="9"/>
        <v>362.00000000007282</v>
      </c>
      <c r="J55" s="339">
        <f t="shared" si="9"/>
        <v>350.1666666667395</v>
      </c>
      <c r="K55" s="339">
        <f t="shared" si="9"/>
        <v>338.33333333340619</v>
      </c>
      <c r="L55" s="339">
        <f t="shared" si="9"/>
        <v>326.50000000007287</v>
      </c>
      <c r="M55" s="339">
        <f t="shared" si="9"/>
        <v>314.66666666673956</v>
      </c>
      <c r="N55" s="339">
        <f t="shared" si="9"/>
        <v>302.83333333340624</v>
      </c>
      <c r="O55" s="339">
        <f t="shared" si="9"/>
        <v>291.00000000007293</v>
      </c>
    </row>
    <row r="56" spans="1:15" x14ac:dyDescent="0.25">
      <c r="A56" s="91">
        <v>38</v>
      </c>
      <c r="B56" s="327">
        <v>2055</v>
      </c>
      <c r="C56" s="62">
        <f>HLOOKUP(B56,'FT Combined ARAM Summary'!$A$5:$CJ$14,10,0)</f>
        <v>135</v>
      </c>
      <c r="D56" s="347">
        <f t="shared" si="8"/>
        <v>279.75000000007293</v>
      </c>
      <c r="E56" s="339">
        <f t="shared" si="9"/>
        <v>268.50000000007293</v>
      </c>
      <c r="F56" s="339">
        <f t="shared" si="9"/>
        <v>257.25000000007293</v>
      </c>
      <c r="G56" s="339">
        <f t="shared" si="9"/>
        <v>246.00000000007293</v>
      </c>
      <c r="H56" s="339">
        <f t="shared" si="9"/>
        <v>234.75000000007293</v>
      </c>
      <c r="I56" s="339">
        <f t="shared" si="9"/>
        <v>223.50000000007293</v>
      </c>
      <c r="J56" s="339">
        <f t="shared" si="9"/>
        <v>212.25000000007293</v>
      </c>
      <c r="K56" s="339">
        <f t="shared" si="9"/>
        <v>201.00000000007293</v>
      </c>
      <c r="L56" s="339">
        <f t="shared" si="9"/>
        <v>189.75000000007293</v>
      </c>
      <c r="M56" s="339">
        <f t="shared" si="9"/>
        <v>178.50000000007293</v>
      </c>
      <c r="N56" s="339">
        <f t="shared" si="9"/>
        <v>167.25000000007293</v>
      </c>
      <c r="O56" s="339">
        <f t="shared" si="9"/>
        <v>156.00000000007293</v>
      </c>
    </row>
    <row r="57" spans="1:15" x14ac:dyDescent="0.25">
      <c r="A57" s="91">
        <v>39</v>
      </c>
      <c r="B57" s="327">
        <v>2056</v>
      </c>
      <c r="C57" s="62">
        <f>HLOOKUP(B57,'FT Combined ARAM Summary'!$A$5:$CJ$14,10,0)</f>
        <v>105</v>
      </c>
      <c r="D57" s="347">
        <f t="shared" si="8"/>
        <v>147.25000000007293</v>
      </c>
      <c r="E57" s="339">
        <f t="shared" si="9"/>
        <v>138.50000000007293</v>
      </c>
      <c r="F57" s="339">
        <f t="shared" si="9"/>
        <v>129.75000000007293</v>
      </c>
      <c r="G57" s="339">
        <f t="shared" si="9"/>
        <v>121.00000000007293</v>
      </c>
      <c r="H57" s="339">
        <f t="shared" si="9"/>
        <v>112.25000000007293</v>
      </c>
      <c r="I57" s="339">
        <f t="shared" si="9"/>
        <v>103.50000000007293</v>
      </c>
      <c r="J57" s="339">
        <f t="shared" si="9"/>
        <v>94.75000000007293</v>
      </c>
      <c r="K57" s="339">
        <f t="shared" si="9"/>
        <v>86.00000000007293</v>
      </c>
      <c r="L57" s="339">
        <f t="shared" si="9"/>
        <v>77.25000000007293</v>
      </c>
      <c r="M57" s="339">
        <f t="shared" si="9"/>
        <v>68.50000000007293</v>
      </c>
      <c r="N57" s="339">
        <f t="shared" si="9"/>
        <v>59.75000000007293</v>
      </c>
      <c r="O57" s="339">
        <f t="shared" si="9"/>
        <v>51.00000000007293</v>
      </c>
    </row>
    <row r="58" spans="1:15" x14ac:dyDescent="0.25">
      <c r="A58" s="91">
        <v>40</v>
      </c>
      <c r="B58" s="327">
        <v>2057</v>
      </c>
      <c r="C58" s="62">
        <f>HLOOKUP(B58,'FT Combined ARAM Summary'!$A$5:$CJ$14,10,0)</f>
        <v>49</v>
      </c>
      <c r="D58" s="347">
        <f t="shared" si="8"/>
        <v>46.916666666739594</v>
      </c>
      <c r="E58" s="339">
        <f t="shared" si="9"/>
        <v>42.833333333406259</v>
      </c>
      <c r="F58" s="339">
        <f t="shared" si="9"/>
        <v>38.750000000072923</v>
      </c>
      <c r="G58" s="339">
        <f t="shared" si="9"/>
        <v>34.666666666739587</v>
      </c>
      <c r="H58" s="339">
        <f t="shared" si="9"/>
        <v>30.583333333406255</v>
      </c>
      <c r="I58" s="339">
        <f t="shared" si="9"/>
        <v>26.500000000072923</v>
      </c>
      <c r="J58" s="339">
        <f t="shared" si="9"/>
        <v>22.416666666739591</v>
      </c>
      <c r="K58" s="339">
        <f t="shared" si="9"/>
        <v>18.333333333406259</v>
      </c>
      <c r="L58" s="339">
        <f t="shared" si="9"/>
        <v>14.250000000072927</v>
      </c>
      <c r="M58" s="339">
        <f t="shared" si="9"/>
        <v>10.166666666739594</v>
      </c>
      <c r="N58" s="339">
        <f t="shared" si="9"/>
        <v>6.0833333334062614</v>
      </c>
      <c r="O58" s="339">
        <f t="shared" si="9"/>
        <v>2.0000000000729283</v>
      </c>
    </row>
    <row r="59" spans="1:15" x14ac:dyDescent="0.25">
      <c r="A59" s="91">
        <v>41</v>
      </c>
      <c r="B59" s="327">
        <v>2058</v>
      </c>
      <c r="C59" s="62">
        <f>HLOOKUP(B59,'FT Combined ARAM Summary'!$A$5:$CJ$14,10,0)</f>
        <v>0</v>
      </c>
      <c r="D59" s="347">
        <f t="shared" si="8"/>
        <v>2.0000000000729283</v>
      </c>
      <c r="E59" s="339">
        <f t="shared" si="9"/>
        <v>2.0000000000729283</v>
      </c>
      <c r="F59" s="339">
        <f t="shared" si="9"/>
        <v>2.0000000000729283</v>
      </c>
      <c r="G59" s="339">
        <f t="shared" si="9"/>
        <v>2.0000000000729283</v>
      </c>
      <c r="H59" s="339">
        <f t="shared" si="9"/>
        <v>2.0000000000729283</v>
      </c>
      <c r="I59" s="339">
        <f t="shared" si="9"/>
        <v>2.0000000000729283</v>
      </c>
      <c r="J59" s="339">
        <f t="shared" si="9"/>
        <v>2.0000000000729283</v>
      </c>
      <c r="K59" s="339">
        <f t="shared" si="9"/>
        <v>2.0000000000729283</v>
      </c>
      <c r="L59" s="339">
        <f t="shared" si="9"/>
        <v>2.0000000000729283</v>
      </c>
      <c r="M59" s="339">
        <f t="shared" si="9"/>
        <v>2.0000000000729283</v>
      </c>
      <c r="N59" s="339">
        <f t="shared" si="9"/>
        <v>2.0000000000729283</v>
      </c>
      <c r="O59" s="339">
        <f t="shared" si="9"/>
        <v>2.0000000000729283</v>
      </c>
    </row>
    <row r="60" spans="1:15" x14ac:dyDescent="0.25">
      <c r="A60" s="91">
        <v>42</v>
      </c>
      <c r="B60" s="327">
        <v>2059</v>
      </c>
      <c r="C60" s="62">
        <f>HLOOKUP(B60,'FT Combined ARAM Summary'!$A$5:$CJ$14,10,0)</f>
        <v>0</v>
      </c>
      <c r="D60" s="347">
        <f t="shared" si="8"/>
        <v>2.0000000000729283</v>
      </c>
      <c r="E60" s="339">
        <f t="shared" si="9"/>
        <v>2.0000000000729283</v>
      </c>
      <c r="F60" s="339">
        <f t="shared" si="9"/>
        <v>2.0000000000729283</v>
      </c>
      <c r="G60" s="339">
        <f t="shared" si="9"/>
        <v>2.0000000000729283</v>
      </c>
      <c r="H60" s="339">
        <f t="shared" si="9"/>
        <v>2.0000000000729283</v>
      </c>
      <c r="I60" s="339">
        <f t="shared" si="9"/>
        <v>2.0000000000729283</v>
      </c>
      <c r="J60" s="339">
        <f t="shared" si="9"/>
        <v>2.0000000000729283</v>
      </c>
      <c r="K60" s="339">
        <f t="shared" si="9"/>
        <v>2.0000000000729283</v>
      </c>
      <c r="L60" s="339">
        <f t="shared" si="9"/>
        <v>2.0000000000729283</v>
      </c>
      <c r="M60" s="339">
        <f t="shared" si="9"/>
        <v>2.0000000000729283</v>
      </c>
      <c r="N60" s="339">
        <f t="shared" si="9"/>
        <v>2.0000000000729283</v>
      </c>
      <c r="O60" s="339">
        <f t="shared" si="9"/>
        <v>2.0000000000729283</v>
      </c>
    </row>
    <row r="61" spans="1:15" x14ac:dyDescent="0.25">
      <c r="A61" s="91">
        <v>43</v>
      </c>
      <c r="B61" s="327">
        <v>2060</v>
      </c>
      <c r="C61" s="62">
        <f>HLOOKUP(B61,'FT Combined ARAM Summary'!$A$5:$CJ$14,10,0)</f>
        <v>0</v>
      </c>
      <c r="D61" s="347">
        <f t="shared" si="8"/>
        <v>2.0000000000729283</v>
      </c>
      <c r="E61" s="339">
        <f t="shared" si="9"/>
        <v>2.0000000000729283</v>
      </c>
      <c r="F61" s="339">
        <f t="shared" si="9"/>
        <v>2.0000000000729283</v>
      </c>
      <c r="G61" s="339">
        <f t="shared" si="9"/>
        <v>2.0000000000729283</v>
      </c>
      <c r="H61" s="339">
        <f t="shared" si="9"/>
        <v>2.0000000000729283</v>
      </c>
      <c r="I61" s="339">
        <f t="shared" si="9"/>
        <v>2.0000000000729283</v>
      </c>
      <c r="J61" s="339">
        <f t="shared" si="9"/>
        <v>2.0000000000729283</v>
      </c>
      <c r="K61" s="339">
        <f t="shared" si="9"/>
        <v>2.0000000000729283</v>
      </c>
      <c r="L61" s="339">
        <f t="shared" si="9"/>
        <v>2.0000000000729283</v>
      </c>
      <c r="M61" s="339">
        <f t="shared" si="9"/>
        <v>2.0000000000729283</v>
      </c>
      <c r="N61" s="339">
        <f t="shared" si="9"/>
        <v>2.0000000000729283</v>
      </c>
      <c r="O61" s="339">
        <f t="shared" si="9"/>
        <v>2.0000000000729283</v>
      </c>
    </row>
    <row r="62" spans="1:15" x14ac:dyDescent="0.25">
      <c r="A62" s="91">
        <v>44</v>
      </c>
      <c r="B62" s="327">
        <v>2061</v>
      </c>
      <c r="C62" s="62">
        <f>HLOOKUP(B62,'FT Combined ARAM Summary'!$A$5:$CJ$14,10,0)</f>
        <v>0</v>
      </c>
      <c r="D62" s="347">
        <f t="shared" si="8"/>
        <v>2.0000000000729283</v>
      </c>
      <c r="E62" s="339">
        <f t="shared" si="9"/>
        <v>2.0000000000729283</v>
      </c>
      <c r="F62" s="339">
        <f t="shared" si="9"/>
        <v>2.0000000000729283</v>
      </c>
      <c r="G62" s="339">
        <f t="shared" si="9"/>
        <v>2.0000000000729283</v>
      </c>
      <c r="H62" s="339">
        <f t="shared" si="9"/>
        <v>2.0000000000729283</v>
      </c>
      <c r="I62" s="339">
        <f t="shared" si="9"/>
        <v>2.0000000000729283</v>
      </c>
      <c r="J62" s="339">
        <f t="shared" si="9"/>
        <v>2.0000000000729283</v>
      </c>
      <c r="K62" s="339">
        <f t="shared" si="9"/>
        <v>2.0000000000729283</v>
      </c>
      <c r="L62" s="339">
        <f t="shared" si="9"/>
        <v>2.0000000000729283</v>
      </c>
      <c r="M62" s="339">
        <f t="shared" si="9"/>
        <v>2.0000000000729283</v>
      </c>
      <c r="N62" s="339">
        <f t="shared" si="9"/>
        <v>2.0000000000729283</v>
      </c>
      <c r="O62" s="339">
        <f t="shared" si="9"/>
        <v>2.0000000000729283</v>
      </c>
    </row>
    <row r="63" spans="1:15" x14ac:dyDescent="0.25">
      <c r="A63" s="91">
        <v>45</v>
      </c>
      <c r="B63" s="327">
        <v>2062</v>
      </c>
      <c r="C63" s="62">
        <f>HLOOKUP(B63,'FT Combined ARAM Summary'!$A$5:$CJ$14,10,0)</f>
        <v>0</v>
      </c>
      <c r="D63" s="347">
        <f t="shared" si="8"/>
        <v>2.0000000000729283</v>
      </c>
      <c r="E63" s="339">
        <f t="shared" si="9"/>
        <v>2.0000000000729283</v>
      </c>
      <c r="F63" s="339">
        <f t="shared" si="9"/>
        <v>2.0000000000729283</v>
      </c>
      <c r="G63" s="339">
        <f t="shared" si="9"/>
        <v>2.0000000000729283</v>
      </c>
      <c r="H63" s="339">
        <f t="shared" si="9"/>
        <v>2.0000000000729283</v>
      </c>
      <c r="I63" s="339">
        <f t="shared" si="9"/>
        <v>2.0000000000729283</v>
      </c>
      <c r="J63" s="339">
        <f t="shared" si="9"/>
        <v>2.0000000000729283</v>
      </c>
      <c r="K63" s="339">
        <f t="shared" si="9"/>
        <v>2.0000000000729283</v>
      </c>
      <c r="L63" s="339">
        <f t="shared" si="9"/>
        <v>2.0000000000729283</v>
      </c>
      <c r="M63" s="339">
        <f t="shared" si="9"/>
        <v>2.0000000000729283</v>
      </c>
      <c r="N63" s="339">
        <f t="shared" si="9"/>
        <v>2.0000000000729283</v>
      </c>
      <c r="O63" s="339">
        <f t="shared" si="9"/>
        <v>2.0000000000729283</v>
      </c>
    </row>
    <row r="64" spans="1:15" x14ac:dyDescent="0.25">
      <c r="A64" s="91">
        <v>46</v>
      </c>
      <c r="B64" s="327">
        <v>2063</v>
      </c>
      <c r="C64" s="62">
        <f>HLOOKUP(B64,'FT Combined ARAM Summary'!$A$5:$CJ$14,10,0)</f>
        <v>0</v>
      </c>
      <c r="D64" s="347">
        <f t="shared" si="8"/>
        <v>2.0000000000729283</v>
      </c>
      <c r="E64" s="339">
        <f t="shared" si="9"/>
        <v>2.0000000000729283</v>
      </c>
      <c r="F64" s="339">
        <f t="shared" si="9"/>
        <v>2.0000000000729283</v>
      </c>
      <c r="G64" s="339">
        <f t="shared" si="9"/>
        <v>2.0000000000729283</v>
      </c>
      <c r="H64" s="339">
        <f t="shared" si="9"/>
        <v>2.0000000000729283</v>
      </c>
      <c r="I64" s="339">
        <f t="shared" si="9"/>
        <v>2.0000000000729283</v>
      </c>
      <c r="J64" s="339">
        <f t="shared" si="9"/>
        <v>2.0000000000729283</v>
      </c>
      <c r="K64" s="339">
        <f t="shared" si="9"/>
        <v>2.0000000000729283</v>
      </c>
      <c r="L64" s="339">
        <f t="shared" si="9"/>
        <v>2.0000000000729283</v>
      </c>
      <c r="M64" s="339">
        <f t="shared" si="9"/>
        <v>2.0000000000729283</v>
      </c>
      <c r="N64" s="339">
        <f t="shared" si="9"/>
        <v>2.0000000000729283</v>
      </c>
      <c r="O64" s="339">
        <f t="shared" si="9"/>
        <v>2.0000000000729283</v>
      </c>
    </row>
    <row r="65" spans="1:15" x14ac:dyDescent="0.25">
      <c r="A65" s="91">
        <v>47</v>
      </c>
      <c r="B65" s="327">
        <v>2064</v>
      </c>
      <c r="C65" s="62">
        <f>HLOOKUP(B65,'FT Combined ARAM Summary'!$A$5:$CJ$14,10,0)</f>
        <v>0</v>
      </c>
      <c r="D65" s="347">
        <f t="shared" si="8"/>
        <v>2.0000000000729283</v>
      </c>
      <c r="E65" s="339">
        <f t="shared" ref="E65:O80" si="10">+D65-($C65/12)</f>
        <v>2.0000000000729283</v>
      </c>
      <c r="F65" s="339">
        <f t="shared" si="10"/>
        <v>2.0000000000729283</v>
      </c>
      <c r="G65" s="339">
        <f t="shared" si="10"/>
        <v>2.0000000000729283</v>
      </c>
      <c r="H65" s="339">
        <f t="shared" si="10"/>
        <v>2.0000000000729283</v>
      </c>
      <c r="I65" s="339">
        <f t="shared" si="10"/>
        <v>2.0000000000729283</v>
      </c>
      <c r="J65" s="339">
        <f t="shared" si="10"/>
        <v>2.0000000000729283</v>
      </c>
      <c r="K65" s="339">
        <f t="shared" si="10"/>
        <v>2.0000000000729283</v>
      </c>
      <c r="L65" s="339">
        <f t="shared" si="10"/>
        <v>2.0000000000729283</v>
      </c>
      <c r="M65" s="339">
        <f t="shared" si="10"/>
        <v>2.0000000000729283</v>
      </c>
      <c r="N65" s="339">
        <f t="shared" si="10"/>
        <v>2.0000000000729283</v>
      </c>
      <c r="O65" s="339">
        <f t="shared" si="10"/>
        <v>2.0000000000729283</v>
      </c>
    </row>
    <row r="66" spans="1:15" x14ac:dyDescent="0.25">
      <c r="A66" s="91">
        <v>48</v>
      </c>
      <c r="B66" s="327">
        <v>2065</v>
      </c>
      <c r="C66" s="62">
        <f>HLOOKUP(B66,'FT Combined ARAM Summary'!$A$5:$CJ$14,10,0)</f>
        <v>0</v>
      </c>
      <c r="D66" s="347">
        <f t="shared" si="8"/>
        <v>2.0000000000729283</v>
      </c>
      <c r="E66" s="339">
        <f t="shared" si="10"/>
        <v>2.0000000000729283</v>
      </c>
      <c r="F66" s="339">
        <f t="shared" si="10"/>
        <v>2.0000000000729283</v>
      </c>
      <c r="G66" s="339">
        <f t="shared" si="10"/>
        <v>2.0000000000729283</v>
      </c>
      <c r="H66" s="339">
        <f t="shared" si="10"/>
        <v>2.0000000000729283</v>
      </c>
      <c r="I66" s="339">
        <f t="shared" si="10"/>
        <v>2.0000000000729283</v>
      </c>
      <c r="J66" s="339">
        <f t="shared" si="10"/>
        <v>2.0000000000729283</v>
      </c>
      <c r="K66" s="339">
        <f t="shared" si="10"/>
        <v>2.0000000000729283</v>
      </c>
      <c r="L66" s="339">
        <f t="shared" si="10"/>
        <v>2.0000000000729283</v>
      </c>
      <c r="M66" s="339">
        <f t="shared" si="10"/>
        <v>2.0000000000729283</v>
      </c>
      <c r="N66" s="339">
        <f t="shared" si="10"/>
        <v>2.0000000000729283</v>
      </c>
      <c r="O66" s="339">
        <f t="shared" si="10"/>
        <v>2.0000000000729283</v>
      </c>
    </row>
    <row r="67" spans="1:15" x14ac:dyDescent="0.25">
      <c r="A67" s="91">
        <v>49</v>
      </c>
      <c r="B67" s="327">
        <v>2066</v>
      </c>
      <c r="C67" s="62">
        <f>HLOOKUP(B67,'FT Combined ARAM Summary'!$A$5:$CJ$14,10,0)</f>
        <v>0</v>
      </c>
      <c r="D67" s="347">
        <f t="shared" si="8"/>
        <v>2.0000000000729283</v>
      </c>
      <c r="E67" s="339">
        <f t="shared" si="10"/>
        <v>2.0000000000729283</v>
      </c>
      <c r="F67" s="339">
        <f t="shared" si="10"/>
        <v>2.0000000000729283</v>
      </c>
      <c r="G67" s="339">
        <f t="shared" si="10"/>
        <v>2.0000000000729283</v>
      </c>
      <c r="H67" s="339">
        <f t="shared" si="10"/>
        <v>2.0000000000729283</v>
      </c>
      <c r="I67" s="339">
        <f t="shared" si="10"/>
        <v>2.0000000000729283</v>
      </c>
      <c r="J67" s="339">
        <f t="shared" si="10"/>
        <v>2.0000000000729283</v>
      </c>
      <c r="K67" s="339">
        <f t="shared" si="10"/>
        <v>2.0000000000729283</v>
      </c>
      <c r="L67" s="339">
        <f t="shared" si="10"/>
        <v>2.0000000000729283</v>
      </c>
      <c r="M67" s="339">
        <f t="shared" si="10"/>
        <v>2.0000000000729283</v>
      </c>
      <c r="N67" s="339">
        <f t="shared" si="10"/>
        <v>2.0000000000729283</v>
      </c>
      <c r="O67" s="339">
        <f t="shared" si="10"/>
        <v>2.0000000000729283</v>
      </c>
    </row>
    <row r="68" spans="1:15" x14ac:dyDescent="0.25">
      <c r="A68" s="91">
        <v>50</v>
      </c>
      <c r="B68" s="327">
        <v>2067</v>
      </c>
      <c r="C68" s="62">
        <f>HLOOKUP(B68,'FT Combined ARAM Summary'!$A$5:$CJ$14,10,0)</f>
        <v>0</v>
      </c>
      <c r="D68" s="347">
        <f t="shared" si="8"/>
        <v>2.0000000000729283</v>
      </c>
      <c r="E68" s="339">
        <f t="shared" si="10"/>
        <v>2.0000000000729283</v>
      </c>
      <c r="F68" s="339">
        <f t="shared" si="10"/>
        <v>2.0000000000729283</v>
      </c>
      <c r="G68" s="339">
        <f t="shared" si="10"/>
        <v>2.0000000000729283</v>
      </c>
      <c r="H68" s="339">
        <f t="shared" si="10"/>
        <v>2.0000000000729283</v>
      </c>
      <c r="I68" s="339">
        <f t="shared" si="10"/>
        <v>2.0000000000729283</v>
      </c>
      <c r="J68" s="339">
        <f t="shared" si="10"/>
        <v>2.0000000000729283</v>
      </c>
      <c r="K68" s="339">
        <f t="shared" si="10"/>
        <v>2.0000000000729283</v>
      </c>
      <c r="L68" s="339">
        <f t="shared" si="10"/>
        <v>2.0000000000729283</v>
      </c>
      <c r="M68" s="339">
        <f t="shared" si="10"/>
        <v>2.0000000000729283</v>
      </c>
      <c r="N68" s="339">
        <f t="shared" si="10"/>
        <v>2.0000000000729283</v>
      </c>
      <c r="O68" s="339">
        <f t="shared" si="10"/>
        <v>2.0000000000729283</v>
      </c>
    </row>
    <row r="69" spans="1:15" x14ac:dyDescent="0.25">
      <c r="A69" s="91">
        <v>51</v>
      </c>
      <c r="B69" s="327">
        <v>2068</v>
      </c>
      <c r="C69" s="62">
        <f>HLOOKUP(B69,'FT Combined ARAM Summary'!$A$5:$CJ$14,10,0)</f>
        <v>0</v>
      </c>
      <c r="D69" s="347">
        <f t="shared" si="8"/>
        <v>2.0000000000729283</v>
      </c>
      <c r="E69" s="339">
        <f t="shared" si="10"/>
        <v>2.0000000000729283</v>
      </c>
      <c r="F69" s="339">
        <f t="shared" si="10"/>
        <v>2.0000000000729283</v>
      </c>
      <c r="G69" s="339">
        <f t="shared" si="10"/>
        <v>2.0000000000729283</v>
      </c>
      <c r="H69" s="339">
        <f t="shared" si="10"/>
        <v>2.0000000000729283</v>
      </c>
      <c r="I69" s="339">
        <f t="shared" si="10"/>
        <v>2.0000000000729283</v>
      </c>
      <c r="J69" s="339">
        <f t="shared" si="10"/>
        <v>2.0000000000729283</v>
      </c>
      <c r="K69" s="339">
        <f t="shared" si="10"/>
        <v>2.0000000000729283</v>
      </c>
      <c r="L69" s="339">
        <f t="shared" si="10"/>
        <v>2.0000000000729283</v>
      </c>
      <c r="M69" s="339">
        <f t="shared" si="10"/>
        <v>2.0000000000729283</v>
      </c>
      <c r="N69" s="339">
        <f t="shared" si="10"/>
        <v>2.0000000000729283</v>
      </c>
      <c r="O69" s="339">
        <f t="shared" si="10"/>
        <v>2.0000000000729283</v>
      </c>
    </row>
    <row r="70" spans="1:15" x14ac:dyDescent="0.25">
      <c r="A70" s="91">
        <v>52</v>
      </c>
      <c r="B70" s="327">
        <v>2069</v>
      </c>
      <c r="C70" s="62">
        <f>HLOOKUP(B70,'FT Combined ARAM Summary'!$A$5:$CJ$14,10,0)</f>
        <v>0</v>
      </c>
      <c r="D70" s="347">
        <f t="shared" si="8"/>
        <v>2.0000000000729283</v>
      </c>
      <c r="E70" s="339">
        <f t="shared" si="10"/>
        <v>2.0000000000729283</v>
      </c>
      <c r="F70" s="339">
        <f t="shared" si="10"/>
        <v>2.0000000000729283</v>
      </c>
      <c r="G70" s="339">
        <f t="shared" si="10"/>
        <v>2.0000000000729283</v>
      </c>
      <c r="H70" s="339">
        <f t="shared" si="10"/>
        <v>2.0000000000729283</v>
      </c>
      <c r="I70" s="339">
        <f t="shared" si="10"/>
        <v>2.0000000000729283</v>
      </c>
      <c r="J70" s="339">
        <f t="shared" si="10"/>
        <v>2.0000000000729283</v>
      </c>
      <c r="K70" s="339">
        <f t="shared" si="10"/>
        <v>2.0000000000729283</v>
      </c>
      <c r="L70" s="339">
        <f t="shared" si="10"/>
        <v>2.0000000000729283</v>
      </c>
      <c r="M70" s="339">
        <f t="shared" si="10"/>
        <v>2.0000000000729283</v>
      </c>
      <c r="N70" s="339">
        <f t="shared" si="10"/>
        <v>2.0000000000729283</v>
      </c>
      <c r="O70" s="339">
        <f t="shared" si="10"/>
        <v>2.0000000000729283</v>
      </c>
    </row>
    <row r="71" spans="1:15" x14ac:dyDescent="0.25">
      <c r="A71" s="91">
        <v>53</v>
      </c>
      <c r="B71" s="327">
        <v>2070</v>
      </c>
      <c r="C71" s="62">
        <f>HLOOKUP(B71,'FT Combined ARAM Summary'!$A$5:$CJ$14,10,0)</f>
        <v>0</v>
      </c>
      <c r="D71" s="347">
        <f t="shared" si="8"/>
        <v>2.0000000000729283</v>
      </c>
      <c r="E71" s="339">
        <f t="shared" si="10"/>
        <v>2.0000000000729283</v>
      </c>
      <c r="F71" s="339">
        <f t="shared" si="10"/>
        <v>2.0000000000729283</v>
      </c>
      <c r="G71" s="339">
        <f t="shared" si="10"/>
        <v>2.0000000000729283</v>
      </c>
      <c r="H71" s="339">
        <f t="shared" si="10"/>
        <v>2.0000000000729283</v>
      </c>
      <c r="I71" s="339">
        <f t="shared" si="10"/>
        <v>2.0000000000729283</v>
      </c>
      <c r="J71" s="339">
        <f t="shared" si="10"/>
        <v>2.0000000000729283</v>
      </c>
      <c r="K71" s="339">
        <f t="shared" si="10"/>
        <v>2.0000000000729283</v>
      </c>
      <c r="L71" s="339">
        <f t="shared" si="10"/>
        <v>2.0000000000729283</v>
      </c>
      <c r="M71" s="339">
        <f t="shared" si="10"/>
        <v>2.0000000000729283</v>
      </c>
      <c r="N71" s="339">
        <f t="shared" si="10"/>
        <v>2.0000000000729283</v>
      </c>
      <c r="O71" s="339">
        <f t="shared" si="10"/>
        <v>2.0000000000729283</v>
      </c>
    </row>
    <row r="72" spans="1:15" x14ac:dyDescent="0.25">
      <c r="A72" s="91">
        <v>54</v>
      </c>
      <c r="B72" s="327">
        <v>2071</v>
      </c>
      <c r="C72" s="62">
        <f>HLOOKUP(B72,'FT Combined ARAM Summary'!$A$5:$CJ$14,10,0)</f>
        <v>0</v>
      </c>
      <c r="D72" s="347">
        <f t="shared" si="8"/>
        <v>2.0000000000729283</v>
      </c>
      <c r="E72" s="339">
        <f t="shared" si="10"/>
        <v>2.0000000000729283</v>
      </c>
      <c r="F72" s="339">
        <f t="shared" si="10"/>
        <v>2.0000000000729283</v>
      </c>
      <c r="G72" s="339">
        <f t="shared" si="10"/>
        <v>2.0000000000729283</v>
      </c>
      <c r="H72" s="339">
        <f t="shared" si="10"/>
        <v>2.0000000000729283</v>
      </c>
      <c r="I72" s="339">
        <f t="shared" si="10"/>
        <v>2.0000000000729283</v>
      </c>
      <c r="J72" s="339">
        <f t="shared" si="10"/>
        <v>2.0000000000729283</v>
      </c>
      <c r="K72" s="339">
        <f t="shared" si="10"/>
        <v>2.0000000000729283</v>
      </c>
      <c r="L72" s="339">
        <f t="shared" si="10"/>
        <v>2.0000000000729283</v>
      </c>
      <c r="M72" s="339">
        <f t="shared" si="10"/>
        <v>2.0000000000729283</v>
      </c>
      <c r="N72" s="339">
        <f t="shared" si="10"/>
        <v>2.0000000000729283</v>
      </c>
      <c r="O72" s="339">
        <f t="shared" si="10"/>
        <v>2.0000000000729283</v>
      </c>
    </row>
    <row r="73" spans="1:15" x14ac:dyDescent="0.25">
      <c r="A73" s="91">
        <v>55</v>
      </c>
      <c r="B73" s="327">
        <v>2072</v>
      </c>
      <c r="C73" s="62">
        <f>HLOOKUP(B73,'FT Combined ARAM Summary'!$A$5:$CJ$14,10,0)</f>
        <v>0</v>
      </c>
      <c r="D73" s="347">
        <f t="shared" si="8"/>
        <v>2.0000000000729283</v>
      </c>
      <c r="E73" s="339">
        <f t="shared" si="10"/>
        <v>2.0000000000729283</v>
      </c>
      <c r="F73" s="339">
        <f t="shared" si="10"/>
        <v>2.0000000000729283</v>
      </c>
      <c r="G73" s="339">
        <f t="shared" si="10"/>
        <v>2.0000000000729283</v>
      </c>
      <c r="H73" s="339">
        <f t="shared" si="10"/>
        <v>2.0000000000729283</v>
      </c>
      <c r="I73" s="339">
        <f t="shared" si="10"/>
        <v>2.0000000000729283</v>
      </c>
      <c r="J73" s="339">
        <f t="shared" si="10"/>
        <v>2.0000000000729283</v>
      </c>
      <c r="K73" s="339">
        <f t="shared" si="10"/>
        <v>2.0000000000729283</v>
      </c>
      <c r="L73" s="339">
        <f t="shared" si="10"/>
        <v>2.0000000000729283</v>
      </c>
      <c r="M73" s="339">
        <f t="shared" si="10"/>
        <v>2.0000000000729283</v>
      </c>
      <c r="N73" s="339">
        <f t="shared" si="10"/>
        <v>2.0000000000729283</v>
      </c>
      <c r="O73" s="339">
        <f t="shared" si="10"/>
        <v>2.0000000000729283</v>
      </c>
    </row>
    <row r="74" spans="1:15" x14ac:dyDescent="0.25">
      <c r="A74" s="91">
        <v>56</v>
      </c>
      <c r="B74" s="327">
        <v>2073</v>
      </c>
      <c r="C74" s="62">
        <f>HLOOKUP(B74,'FT Combined ARAM Summary'!$A$5:$CJ$14,10,0)</f>
        <v>0</v>
      </c>
      <c r="D74" s="347">
        <f t="shared" si="8"/>
        <v>2.0000000000729283</v>
      </c>
      <c r="E74" s="339">
        <f t="shared" si="10"/>
        <v>2.0000000000729283</v>
      </c>
      <c r="F74" s="339">
        <f t="shared" si="10"/>
        <v>2.0000000000729283</v>
      </c>
      <c r="G74" s="339">
        <f t="shared" si="10"/>
        <v>2.0000000000729283</v>
      </c>
      <c r="H74" s="339">
        <f t="shared" si="10"/>
        <v>2.0000000000729283</v>
      </c>
      <c r="I74" s="339">
        <f t="shared" si="10"/>
        <v>2.0000000000729283</v>
      </c>
      <c r="J74" s="339">
        <f t="shared" si="10"/>
        <v>2.0000000000729283</v>
      </c>
      <c r="K74" s="339">
        <f t="shared" si="10"/>
        <v>2.0000000000729283</v>
      </c>
      <c r="L74" s="339">
        <f t="shared" si="10"/>
        <v>2.0000000000729283</v>
      </c>
      <c r="M74" s="339">
        <f t="shared" si="10"/>
        <v>2.0000000000729283</v>
      </c>
      <c r="N74" s="339">
        <f t="shared" si="10"/>
        <v>2.0000000000729283</v>
      </c>
      <c r="O74" s="339">
        <f t="shared" si="10"/>
        <v>2.0000000000729283</v>
      </c>
    </row>
    <row r="75" spans="1:15" x14ac:dyDescent="0.25">
      <c r="A75" s="91">
        <v>57</v>
      </c>
      <c r="B75" s="327">
        <v>2074</v>
      </c>
      <c r="C75" s="62">
        <f>HLOOKUP(B75,'FT Combined ARAM Summary'!$A$5:$CJ$14,10,0)</f>
        <v>0</v>
      </c>
      <c r="D75" s="347">
        <f t="shared" si="8"/>
        <v>2.0000000000729283</v>
      </c>
      <c r="E75" s="339">
        <f t="shared" si="10"/>
        <v>2.0000000000729283</v>
      </c>
      <c r="F75" s="339">
        <f t="shared" si="10"/>
        <v>2.0000000000729283</v>
      </c>
      <c r="G75" s="339">
        <f t="shared" si="10"/>
        <v>2.0000000000729283</v>
      </c>
      <c r="H75" s="339">
        <f t="shared" si="10"/>
        <v>2.0000000000729283</v>
      </c>
      <c r="I75" s="339">
        <f t="shared" si="10"/>
        <v>2.0000000000729283</v>
      </c>
      <c r="J75" s="339">
        <f t="shared" si="10"/>
        <v>2.0000000000729283</v>
      </c>
      <c r="K75" s="339">
        <f t="shared" si="10"/>
        <v>2.0000000000729283</v>
      </c>
      <c r="L75" s="339">
        <f t="shared" si="10"/>
        <v>2.0000000000729283</v>
      </c>
      <c r="M75" s="339">
        <f t="shared" si="10"/>
        <v>2.0000000000729283</v>
      </c>
      <c r="N75" s="339">
        <f t="shared" si="10"/>
        <v>2.0000000000729283</v>
      </c>
      <c r="O75" s="339">
        <f t="shared" si="10"/>
        <v>2.0000000000729283</v>
      </c>
    </row>
    <row r="76" spans="1:15" x14ac:dyDescent="0.25">
      <c r="A76" s="91">
        <v>58</v>
      </c>
      <c r="B76" s="327">
        <v>2075</v>
      </c>
      <c r="C76" s="62">
        <f>HLOOKUP(B76,'FT Combined ARAM Summary'!$A$5:$CJ$14,10,0)</f>
        <v>0</v>
      </c>
      <c r="D76" s="347">
        <f t="shared" si="8"/>
        <v>2.0000000000729283</v>
      </c>
      <c r="E76" s="339">
        <f t="shared" si="10"/>
        <v>2.0000000000729283</v>
      </c>
      <c r="F76" s="339">
        <f t="shared" si="10"/>
        <v>2.0000000000729283</v>
      </c>
      <c r="G76" s="339">
        <f t="shared" si="10"/>
        <v>2.0000000000729283</v>
      </c>
      <c r="H76" s="339">
        <f t="shared" si="10"/>
        <v>2.0000000000729283</v>
      </c>
      <c r="I76" s="339">
        <f t="shared" si="10"/>
        <v>2.0000000000729283</v>
      </c>
      <c r="J76" s="339">
        <f t="shared" si="10"/>
        <v>2.0000000000729283</v>
      </c>
      <c r="K76" s="339">
        <f t="shared" si="10"/>
        <v>2.0000000000729283</v>
      </c>
      <c r="L76" s="339">
        <f t="shared" si="10"/>
        <v>2.0000000000729283</v>
      </c>
      <c r="M76" s="339">
        <f t="shared" si="10"/>
        <v>2.0000000000729283</v>
      </c>
      <c r="N76" s="339">
        <f t="shared" si="10"/>
        <v>2.0000000000729283</v>
      </c>
      <c r="O76" s="339">
        <f t="shared" si="10"/>
        <v>2.0000000000729283</v>
      </c>
    </row>
    <row r="77" spans="1:15" x14ac:dyDescent="0.25">
      <c r="A77" s="91">
        <v>59</v>
      </c>
      <c r="B77" s="327">
        <v>2076</v>
      </c>
      <c r="C77" s="62">
        <f>HLOOKUP(B77,'FT Combined ARAM Summary'!$A$5:$CJ$14,10,0)</f>
        <v>0</v>
      </c>
      <c r="D77" s="347">
        <f t="shared" si="8"/>
        <v>2.0000000000729283</v>
      </c>
      <c r="E77" s="339">
        <f t="shared" si="10"/>
        <v>2.0000000000729283</v>
      </c>
      <c r="F77" s="339">
        <f t="shared" si="10"/>
        <v>2.0000000000729283</v>
      </c>
      <c r="G77" s="339">
        <f t="shared" si="10"/>
        <v>2.0000000000729283</v>
      </c>
      <c r="H77" s="339">
        <f t="shared" si="10"/>
        <v>2.0000000000729283</v>
      </c>
      <c r="I77" s="339">
        <f t="shared" si="10"/>
        <v>2.0000000000729283</v>
      </c>
      <c r="J77" s="339">
        <f t="shared" si="10"/>
        <v>2.0000000000729283</v>
      </c>
      <c r="K77" s="339">
        <f t="shared" si="10"/>
        <v>2.0000000000729283</v>
      </c>
      <c r="L77" s="339">
        <f t="shared" si="10"/>
        <v>2.0000000000729283</v>
      </c>
      <c r="M77" s="339">
        <f t="shared" si="10"/>
        <v>2.0000000000729283</v>
      </c>
      <c r="N77" s="339">
        <f t="shared" si="10"/>
        <v>2.0000000000729283</v>
      </c>
      <c r="O77" s="339">
        <f t="shared" si="10"/>
        <v>2.0000000000729283</v>
      </c>
    </row>
    <row r="78" spans="1:15" x14ac:dyDescent="0.25">
      <c r="A78" s="91">
        <v>60</v>
      </c>
      <c r="B78" s="327">
        <v>2077</v>
      </c>
      <c r="C78" s="62">
        <f>HLOOKUP(B78,'FT Combined ARAM Summary'!$A$5:$CJ$14,10,0)</f>
        <v>0</v>
      </c>
      <c r="D78" s="347">
        <f t="shared" si="8"/>
        <v>2.0000000000729283</v>
      </c>
      <c r="E78" s="339">
        <f t="shared" si="10"/>
        <v>2.0000000000729283</v>
      </c>
      <c r="F78" s="339">
        <f t="shared" si="10"/>
        <v>2.0000000000729283</v>
      </c>
      <c r="G78" s="339">
        <f t="shared" si="10"/>
        <v>2.0000000000729283</v>
      </c>
      <c r="H78" s="339">
        <f t="shared" si="10"/>
        <v>2.0000000000729283</v>
      </c>
      <c r="I78" s="339">
        <f t="shared" si="10"/>
        <v>2.0000000000729283</v>
      </c>
      <c r="J78" s="339">
        <f t="shared" si="10"/>
        <v>2.0000000000729283</v>
      </c>
      <c r="K78" s="339">
        <f t="shared" si="10"/>
        <v>2.0000000000729283</v>
      </c>
      <c r="L78" s="339">
        <f t="shared" si="10"/>
        <v>2.0000000000729283</v>
      </c>
      <c r="M78" s="339">
        <f t="shared" si="10"/>
        <v>2.0000000000729283</v>
      </c>
      <c r="N78" s="339">
        <f t="shared" si="10"/>
        <v>2.0000000000729283</v>
      </c>
      <c r="O78" s="339">
        <f t="shared" si="10"/>
        <v>2.0000000000729283</v>
      </c>
    </row>
    <row r="79" spans="1:15" x14ac:dyDescent="0.25">
      <c r="A79" s="91">
        <v>61</v>
      </c>
      <c r="B79" s="327">
        <v>2078</v>
      </c>
      <c r="C79" s="62">
        <f>HLOOKUP(B79,'FT Combined ARAM Summary'!$A$5:$CJ$14,10,0)</f>
        <v>0</v>
      </c>
      <c r="D79" s="347">
        <f t="shared" si="8"/>
        <v>2.0000000000729283</v>
      </c>
      <c r="E79" s="339">
        <f t="shared" si="10"/>
        <v>2.0000000000729283</v>
      </c>
      <c r="F79" s="339">
        <f t="shared" si="10"/>
        <v>2.0000000000729283</v>
      </c>
      <c r="G79" s="339">
        <f t="shared" si="10"/>
        <v>2.0000000000729283</v>
      </c>
      <c r="H79" s="339">
        <f t="shared" si="10"/>
        <v>2.0000000000729283</v>
      </c>
      <c r="I79" s="339">
        <f t="shared" si="10"/>
        <v>2.0000000000729283</v>
      </c>
      <c r="J79" s="339">
        <f t="shared" si="10"/>
        <v>2.0000000000729283</v>
      </c>
      <c r="K79" s="339">
        <f t="shared" si="10"/>
        <v>2.0000000000729283</v>
      </c>
      <c r="L79" s="339">
        <f t="shared" si="10"/>
        <v>2.0000000000729283</v>
      </c>
      <c r="M79" s="339">
        <f t="shared" si="10"/>
        <v>2.0000000000729283</v>
      </c>
      <c r="N79" s="339">
        <f t="shared" si="10"/>
        <v>2.0000000000729283</v>
      </c>
      <c r="O79" s="339">
        <f t="shared" si="10"/>
        <v>2.0000000000729283</v>
      </c>
    </row>
    <row r="80" spans="1:15" x14ac:dyDescent="0.25">
      <c r="A80" s="91">
        <v>62</v>
      </c>
      <c r="B80" s="327">
        <v>2079</v>
      </c>
      <c r="C80" s="62">
        <f>HLOOKUP(B80,'FT Combined ARAM Summary'!$A$5:$CJ$14,10,0)</f>
        <v>0</v>
      </c>
      <c r="D80" s="347">
        <f t="shared" si="8"/>
        <v>2.0000000000729283</v>
      </c>
      <c r="E80" s="339">
        <f t="shared" si="10"/>
        <v>2.0000000000729283</v>
      </c>
      <c r="F80" s="339">
        <f t="shared" si="10"/>
        <v>2.0000000000729283</v>
      </c>
      <c r="G80" s="339">
        <f t="shared" si="10"/>
        <v>2.0000000000729283</v>
      </c>
      <c r="H80" s="339">
        <f t="shared" si="10"/>
        <v>2.0000000000729283</v>
      </c>
      <c r="I80" s="339">
        <f t="shared" si="10"/>
        <v>2.0000000000729283</v>
      </c>
      <c r="J80" s="339">
        <f t="shared" si="10"/>
        <v>2.0000000000729283</v>
      </c>
      <c r="K80" s="339">
        <f t="shared" si="10"/>
        <v>2.0000000000729283</v>
      </c>
      <c r="L80" s="339">
        <f t="shared" si="10"/>
        <v>2.0000000000729283</v>
      </c>
      <c r="M80" s="339">
        <f t="shared" si="10"/>
        <v>2.0000000000729283</v>
      </c>
      <c r="N80" s="339">
        <f t="shared" si="10"/>
        <v>2.0000000000729283</v>
      </c>
      <c r="O80" s="339">
        <f t="shared" si="10"/>
        <v>2.0000000000729283</v>
      </c>
    </row>
    <row r="81" spans="1:15" x14ac:dyDescent="0.25">
      <c r="A81" s="91">
        <v>63</v>
      </c>
      <c r="B81" s="327">
        <v>2080</v>
      </c>
      <c r="C81" s="62">
        <f>HLOOKUP(B81,'FT Combined ARAM Summary'!$A$5:$CJ$14,10,0)</f>
        <v>0</v>
      </c>
      <c r="D81" s="347">
        <f t="shared" si="8"/>
        <v>2.0000000000729283</v>
      </c>
      <c r="E81" s="339">
        <f t="shared" ref="E81:O96" si="11">+D81-($C81/12)</f>
        <v>2.0000000000729283</v>
      </c>
      <c r="F81" s="339">
        <f t="shared" si="11"/>
        <v>2.0000000000729283</v>
      </c>
      <c r="G81" s="339">
        <f t="shared" si="11"/>
        <v>2.0000000000729283</v>
      </c>
      <c r="H81" s="339">
        <f t="shared" si="11"/>
        <v>2.0000000000729283</v>
      </c>
      <c r="I81" s="339">
        <f t="shared" si="11"/>
        <v>2.0000000000729283</v>
      </c>
      <c r="J81" s="339">
        <f t="shared" si="11"/>
        <v>2.0000000000729283</v>
      </c>
      <c r="K81" s="339">
        <f t="shared" si="11"/>
        <v>2.0000000000729283</v>
      </c>
      <c r="L81" s="339">
        <f t="shared" si="11"/>
        <v>2.0000000000729283</v>
      </c>
      <c r="M81" s="339">
        <f t="shared" si="11"/>
        <v>2.0000000000729283</v>
      </c>
      <c r="N81" s="339">
        <f t="shared" si="11"/>
        <v>2.0000000000729283</v>
      </c>
      <c r="O81" s="339">
        <f t="shared" si="11"/>
        <v>2.0000000000729283</v>
      </c>
    </row>
    <row r="82" spans="1:15" x14ac:dyDescent="0.25">
      <c r="A82" s="91">
        <v>64</v>
      </c>
      <c r="B82" s="327">
        <v>2081</v>
      </c>
      <c r="C82" s="62">
        <f>HLOOKUP(B82,'FT Combined ARAM Summary'!$A$5:$CJ$14,10,0)</f>
        <v>0</v>
      </c>
      <c r="D82" s="347">
        <f t="shared" si="8"/>
        <v>2.0000000000729283</v>
      </c>
      <c r="E82" s="339">
        <f t="shared" si="11"/>
        <v>2.0000000000729283</v>
      </c>
      <c r="F82" s="339">
        <f t="shared" si="11"/>
        <v>2.0000000000729283</v>
      </c>
      <c r="G82" s="339">
        <f t="shared" si="11"/>
        <v>2.0000000000729283</v>
      </c>
      <c r="H82" s="339">
        <f t="shared" si="11"/>
        <v>2.0000000000729283</v>
      </c>
      <c r="I82" s="339">
        <f t="shared" si="11"/>
        <v>2.0000000000729283</v>
      </c>
      <c r="J82" s="339">
        <f t="shared" si="11"/>
        <v>2.0000000000729283</v>
      </c>
      <c r="K82" s="339">
        <f t="shared" si="11"/>
        <v>2.0000000000729283</v>
      </c>
      <c r="L82" s="339">
        <f t="shared" si="11"/>
        <v>2.0000000000729283</v>
      </c>
      <c r="M82" s="339">
        <f t="shared" si="11"/>
        <v>2.0000000000729283</v>
      </c>
      <c r="N82" s="339">
        <f t="shared" si="11"/>
        <v>2.0000000000729283</v>
      </c>
      <c r="O82" s="339">
        <f t="shared" si="11"/>
        <v>2.0000000000729283</v>
      </c>
    </row>
    <row r="83" spans="1:15" x14ac:dyDescent="0.25">
      <c r="A83" s="91">
        <v>65</v>
      </c>
      <c r="B83" s="327">
        <v>2082</v>
      </c>
      <c r="C83" s="62">
        <f>HLOOKUP(B83,'FT Combined ARAM Summary'!$A$5:$CJ$14,10,0)</f>
        <v>0</v>
      </c>
      <c r="D83" s="347">
        <f t="shared" si="8"/>
        <v>2.0000000000729283</v>
      </c>
      <c r="E83" s="339">
        <f t="shared" si="11"/>
        <v>2.0000000000729283</v>
      </c>
      <c r="F83" s="339">
        <f t="shared" si="11"/>
        <v>2.0000000000729283</v>
      </c>
      <c r="G83" s="339">
        <f t="shared" si="11"/>
        <v>2.0000000000729283</v>
      </c>
      <c r="H83" s="339">
        <f t="shared" si="11"/>
        <v>2.0000000000729283</v>
      </c>
      <c r="I83" s="339">
        <f t="shared" si="11"/>
        <v>2.0000000000729283</v>
      </c>
      <c r="J83" s="339">
        <f t="shared" si="11"/>
        <v>2.0000000000729283</v>
      </c>
      <c r="K83" s="339">
        <f t="shared" si="11"/>
        <v>2.0000000000729283</v>
      </c>
      <c r="L83" s="339">
        <f t="shared" si="11"/>
        <v>2.0000000000729283</v>
      </c>
      <c r="M83" s="339">
        <f t="shared" si="11"/>
        <v>2.0000000000729283</v>
      </c>
      <c r="N83" s="339">
        <f t="shared" si="11"/>
        <v>2.0000000000729283</v>
      </c>
      <c r="O83" s="339">
        <f t="shared" si="11"/>
        <v>2.0000000000729283</v>
      </c>
    </row>
    <row r="84" spans="1:15" x14ac:dyDescent="0.25">
      <c r="A84" s="91">
        <v>66</v>
      </c>
      <c r="B84" s="327">
        <v>2083</v>
      </c>
      <c r="C84" s="62">
        <f>HLOOKUP(B84,'FT Combined ARAM Summary'!$A$5:$CJ$14,10,0)</f>
        <v>0</v>
      </c>
      <c r="D84" s="347">
        <f t="shared" si="8"/>
        <v>2.0000000000729283</v>
      </c>
      <c r="E84" s="339">
        <f t="shared" si="11"/>
        <v>2.0000000000729283</v>
      </c>
      <c r="F84" s="339">
        <f t="shared" si="11"/>
        <v>2.0000000000729283</v>
      </c>
      <c r="G84" s="339">
        <f t="shared" si="11"/>
        <v>2.0000000000729283</v>
      </c>
      <c r="H84" s="339">
        <f t="shared" si="11"/>
        <v>2.0000000000729283</v>
      </c>
      <c r="I84" s="339">
        <f t="shared" si="11"/>
        <v>2.0000000000729283</v>
      </c>
      <c r="J84" s="339">
        <f t="shared" si="11"/>
        <v>2.0000000000729283</v>
      </c>
      <c r="K84" s="339">
        <f t="shared" si="11"/>
        <v>2.0000000000729283</v>
      </c>
      <c r="L84" s="339">
        <f t="shared" si="11"/>
        <v>2.0000000000729283</v>
      </c>
      <c r="M84" s="339">
        <f t="shared" si="11"/>
        <v>2.0000000000729283</v>
      </c>
      <c r="N84" s="339">
        <f t="shared" si="11"/>
        <v>2.0000000000729283</v>
      </c>
      <c r="O84" s="339">
        <f t="shared" si="11"/>
        <v>2.0000000000729283</v>
      </c>
    </row>
    <row r="85" spans="1:15" x14ac:dyDescent="0.25">
      <c r="A85" s="91">
        <v>67</v>
      </c>
      <c r="B85" s="327">
        <v>2084</v>
      </c>
      <c r="C85" s="62">
        <f>HLOOKUP(B85,'FT Combined ARAM Summary'!$A$5:$CJ$14,10,0)</f>
        <v>0</v>
      </c>
      <c r="D85" s="347">
        <f t="shared" si="8"/>
        <v>2.0000000000729283</v>
      </c>
      <c r="E85" s="339">
        <f t="shared" si="11"/>
        <v>2.0000000000729283</v>
      </c>
      <c r="F85" s="339">
        <f t="shared" si="11"/>
        <v>2.0000000000729283</v>
      </c>
      <c r="G85" s="339">
        <f t="shared" si="11"/>
        <v>2.0000000000729283</v>
      </c>
      <c r="H85" s="339">
        <f t="shared" si="11"/>
        <v>2.0000000000729283</v>
      </c>
      <c r="I85" s="339">
        <f t="shared" si="11"/>
        <v>2.0000000000729283</v>
      </c>
      <c r="J85" s="339">
        <f t="shared" si="11"/>
        <v>2.0000000000729283</v>
      </c>
      <c r="K85" s="339">
        <f t="shared" si="11"/>
        <v>2.0000000000729283</v>
      </c>
      <c r="L85" s="339">
        <f t="shared" si="11"/>
        <v>2.0000000000729283</v>
      </c>
      <c r="M85" s="339">
        <f t="shared" si="11"/>
        <v>2.0000000000729283</v>
      </c>
      <c r="N85" s="339">
        <f t="shared" si="11"/>
        <v>2.0000000000729283</v>
      </c>
      <c r="O85" s="339">
        <f t="shared" si="11"/>
        <v>2.0000000000729283</v>
      </c>
    </row>
    <row r="86" spans="1:15" x14ac:dyDescent="0.25">
      <c r="A86" s="91">
        <v>68</v>
      </c>
      <c r="B86" s="327">
        <v>2085</v>
      </c>
      <c r="C86" s="62">
        <f>HLOOKUP(B86,'FT Combined ARAM Summary'!$A$5:$CJ$14,10,0)</f>
        <v>0</v>
      </c>
      <c r="D86" s="347">
        <f t="shared" si="8"/>
        <v>2.0000000000729283</v>
      </c>
      <c r="E86" s="339">
        <f t="shared" si="11"/>
        <v>2.0000000000729283</v>
      </c>
      <c r="F86" s="339">
        <f t="shared" si="11"/>
        <v>2.0000000000729283</v>
      </c>
      <c r="G86" s="339">
        <f t="shared" si="11"/>
        <v>2.0000000000729283</v>
      </c>
      <c r="H86" s="339">
        <f t="shared" si="11"/>
        <v>2.0000000000729283</v>
      </c>
      <c r="I86" s="339">
        <f t="shared" si="11"/>
        <v>2.0000000000729283</v>
      </c>
      <c r="J86" s="339">
        <f t="shared" si="11"/>
        <v>2.0000000000729283</v>
      </c>
      <c r="K86" s="339">
        <f t="shared" si="11"/>
        <v>2.0000000000729283</v>
      </c>
      <c r="L86" s="339">
        <f t="shared" si="11"/>
        <v>2.0000000000729283</v>
      </c>
      <c r="M86" s="339">
        <f t="shared" si="11"/>
        <v>2.0000000000729283</v>
      </c>
      <c r="N86" s="339">
        <f t="shared" si="11"/>
        <v>2.0000000000729283</v>
      </c>
      <c r="O86" s="339">
        <f t="shared" si="11"/>
        <v>2.0000000000729283</v>
      </c>
    </row>
    <row r="87" spans="1:15" x14ac:dyDescent="0.25">
      <c r="A87" s="91">
        <v>69</v>
      </c>
      <c r="B87" s="327">
        <v>2086</v>
      </c>
      <c r="C87" s="62">
        <f>HLOOKUP(B87,'FT Combined ARAM Summary'!$A$5:$CJ$14,10,0)</f>
        <v>0</v>
      </c>
      <c r="D87" s="347">
        <f t="shared" si="8"/>
        <v>2.0000000000729283</v>
      </c>
      <c r="E87" s="339">
        <f t="shared" si="11"/>
        <v>2.0000000000729283</v>
      </c>
      <c r="F87" s="339">
        <f t="shared" si="11"/>
        <v>2.0000000000729283</v>
      </c>
      <c r="G87" s="339">
        <f t="shared" si="11"/>
        <v>2.0000000000729283</v>
      </c>
      <c r="H87" s="339">
        <f t="shared" si="11"/>
        <v>2.0000000000729283</v>
      </c>
      <c r="I87" s="339">
        <f t="shared" si="11"/>
        <v>2.0000000000729283</v>
      </c>
      <c r="J87" s="339">
        <f t="shared" si="11"/>
        <v>2.0000000000729283</v>
      </c>
      <c r="K87" s="339">
        <f t="shared" si="11"/>
        <v>2.0000000000729283</v>
      </c>
      <c r="L87" s="339">
        <f t="shared" si="11"/>
        <v>2.0000000000729283</v>
      </c>
      <c r="M87" s="339">
        <f t="shared" si="11"/>
        <v>2.0000000000729283</v>
      </c>
      <c r="N87" s="339">
        <f t="shared" si="11"/>
        <v>2.0000000000729283</v>
      </c>
      <c r="O87" s="339">
        <f t="shared" si="11"/>
        <v>2.0000000000729283</v>
      </c>
    </row>
    <row r="88" spans="1:15" x14ac:dyDescent="0.25">
      <c r="A88" s="91">
        <v>70</v>
      </c>
      <c r="B88" s="327">
        <v>2087</v>
      </c>
      <c r="C88" s="62">
        <f>HLOOKUP(B88,'FT Combined ARAM Summary'!$A$5:$CJ$14,10,0)</f>
        <v>0</v>
      </c>
      <c r="D88" s="347">
        <f t="shared" si="8"/>
        <v>2.0000000000729283</v>
      </c>
      <c r="E88" s="339">
        <f t="shared" si="11"/>
        <v>2.0000000000729283</v>
      </c>
      <c r="F88" s="339">
        <f t="shared" si="11"/>
        <v>2.0000000000729283</v>
      </c>
      <c r="G88" s="339">
        <f t="shared" si="11"/>
        <v>2.0000000000729283</v>
      </c>
      <c r="H88" s="339">
        <f t="shared" si="11"/>
        <v>2.0000000000729283</v>
      </c>
      <c r="I88" s="339">
        <f t="shared" si="11"/>
        <v>2.0000000000729283</v>
      </c>
      <c r="J88" s="339">
        <f t="shared" si="11"/>
        <v>2.0000000000729283</v>
      </c>
      <c r="K88" s="339">
        <f t="shared" si="11"/>
        <v>2.0000000000729283</v>
      </c>
      <c r="L88" s="339">
        <f t="shared" si="11"/>
        <v>2.0000000000729283</v>
      </c>
      <c r="M88" s="339">
        <f t="shared" si="11"/>
        <v>2.0000000000729283</v>
      </c>
      <c r="N88" s="339">
        <f t="shared" si="11"/>
        <v>2.0000000000729283</v>
      </c>
      <c r="O88" s="339">
        <f t="shared" si="11"/>
        <v>2.0000000000729283</v>
      </c>
    </row>
    <row r="89" spans="1:15" x14ac:dyDescent="0.25">
      <c r="A89" s="91">
        <v>71</v>
      </c>
      <c r="B89" s="327">
        <v>2088</v>
      </c>
      <c r="C89" s="62">
        <f>HLOOKUP(B89,'FT Combined ARAM Summary'!$A$5:$CJ$14,10,0)</f>
        <v>0</v>
      </c>
      <c r="D89" s="347">
        <f t="shared" si="8"/>
        <v>2.0000000000729283</v>
      </c>
      <c r="E89" s="339">
        <f t="shared" si="11"/>
        <v>2.0000000000729283</v>
      </c>
      <c r="F89" s="339">
        <f t="shared" si="11"/>
        <v>2.0000000000729283</v>
      </c>
      <c r="G89" s="339">
        <f t="shared" si="11"/>
        <v>2.0000000000729283</v>
      </c>
      <c r="H89" s="339">
        <f t="shared" si="11"/>
        <v>2.0000000000729283</v>
      </c>
      <c r="I89" s="339">
        <f t="shared" si="11"/>
        <v>2.0000000000729283</v>
      </c>
      <c r="J89" s="339">
        <f t="shared" si="11"/>
        <v>2.0000000000729283</v>
      </c>
      <c r="K89" s="339">
        <f t="shared" si="11"/>
        <v>2.0000000000729283</v>
      </c>
      <c r="L89" s="339">
        <f t="shared" si="11"/>
        <v>2.0000000000729283</v>
      </c>
      <c r="M89" s="339">
        <f t="shared" si="11"/>
        <v>2.0000000000729283</v>
      </c>
      <c r="N89" s="339">
        <f t="shared" si="11"/>
        <v>2.0000000000729283</v>
      </c>
      <c r="O89" s="339">
        <f t="shared" si="11"/>
        <v>2.0000000000729283</v>
      </c>
    </row>
    <row r="90" spans="1:15" x14ac:dyDescent="0.25">
      <c r="A90" s="91">
        <v>72</v>
      </c>
      <c r="B90" s="327">
        <v>2089</v>
      </c>
      <c r="C90" s="62">
        <f>HLOOKUP(B90,'FT Combined ARAM Summary'!$A$5:$CJ$14,10,0)</f>
        <v>0</v>
      </c>
      <c r="D90" s="347">
        <f t="shared" si="8"/>
        <v>2.0000000000729283</v>
      </c>
      <c r="E90" s="339">
        <f t="shared" si="11"/>
        <v>2.0000000000729283</v>
      </c>
      <c r="F90" s="339">
        <f t="shared" si="11"/>
        <v>2.0000000000729283</v>
      </c>
      <c r="G90" s="339">
        <f t="shared" si="11"/>
        <v>2.0000000000729283</v>
      </c>
      <c r="H90" s="339">
        <f t="shared" si="11"/>
        <v>2.0000000000729283</v>
      </c>
      <c r="I90" s="339">
        <f t="shared" si="11"/>
        <v>2.0000000000729283</v>
      </c>
      <c r="J90" s="339">
        <f t="shared" si="11"/>
        <v>2.0000000000729283</v>
      </c>
      <c r="K90" s="339">
        <f t="shared" si="11"/>
        <v>2.0000000000729283</v>
      </c>
      <c r="L90" s="339">
        <f t="shared" si="11"/>
        <v>2.0000000000729283</v>
      </c>
      <c r="M90" s="339">
        <f t="shared" si="11"/>
        <v>2.0000000000729283</v>
      </c>
      <c r="N90" s="339">
        <f t="shared" si="11"/>
        <v>2.0000000000729283</v>
      </c>
      <c r="O90" s="339">
        <f t="shared" si="11"/>
        <v>2.0000000000729283</v>
      </c>
    </row>
    <row r="91" spans="1:15" x14ac:dyDescent="0.25">
      <c r="A91" s="91">
        <v>73</v>
      </c>
      <c r="B91" s="327">
        <v>2090</v>
      </c>
      <c r="C91" s="62">
        <f>HLOOKUP(B91,'FT Combined ARAM Summary'!$A$5:$CJ$14,10,0)</f>
        <v>0</v>
      </c>
      <c r="D91" s="347">
        <f t="shared" si="8"/>
        <v>2.0000000000729283</v>
      </c>
      <c r="E91" s="339">
        <f t="shared" si="11"/>
        <v>2.0000000000729283</v>
      </c>
      <c r="F91" s="339">
        <f t="shared" si="11"/>
        <v>2.0000000000729283</v>
      </c>
      <c r="G91" s="339">
        <f t="shared" si="11"/>
        <v>2.0000000000729283</v>
      </c>
      <c r="H91" s="339">
        <f t="shared" si="11"/>
        <v>2.0000000000729283</v>
      </c>
      <c r="I91" s="339">
        <f t="shared" si="11"/>
        <v>2.0000000000729283</v>
      </c>
      <c r="J91" s="339">
        <f t="shared" si="11"/>
        <v>2.0000000000729283</v>
      </c>
      <c r="K91" s="339">
        <f t="shared" si="11"/>
        <v>2.0000000000729283</v>
      </c>
      <c r="L91" s="339">
        <f t="shared" si="11"/>
        <v>2.0000000000729283</v>
      </c>
      <c r="M91" s="339">
        <f t="shared" si="11"/>
        <v>2.0000000000729283</v>
      </c>
      <c r="N91" s="339">
        <f t="shared" si="11"/>
        <v>2.0000000000729283</v>
      </c>
      <c r="O91" s="339">
        <f t="shared" si="11"/>
        <v>2.0000000000729283</v>
      </c>
    </row>
    <row r="92" spans="1:15" x14ac:dyDescent="0.25">
      <c r="A92" s="91">
        <v>74</v>
      </c>
      <c r="B92" s="327">
        <v>2091</v>
      </c>
      <c r="C92" s="62">
        <f>HLOOKUP(B92,'FT Combined ARAM Summary'!$A$5:$CJ$14,10,0)</f>
        <v>0</v>
      </c>
      <c r="D92" s="347">
        <f t="shared" si="8"/>
        <v>2.0000000000729283</v>
      </c>
      <c r="E92" s="339">
        <f t="shared" si="11"/>
        <v>2.0000000000729283</v>
      </c>
      <c r="F92" s="339">
        <f t="shared" si="11"/>
        <v>2.0000000000729283</v>
      </c>
      <c r="G92" s="339">
        <f t="shared" si="11"/>
        <v>2.0000000000729283</v>
      </c>
      <c r="H92" s="339">
        <f t="shared" si="11"/>
        <v>2.0000000000729283</v>
      </c>
      <c r="I92" s="339">
        <f t="shared" si="11"/>
        <v>2.0000000000729283</v>
      </c>
      <c r="J92" s="339">
        <f t="shared" si="11"/>
        <v>2.0000000000729283</v>
      </c>
      <c r="K92" s="339">
        <f t="shared" si="11"/>
        <v>2.0000000000729283</v>
      </c>
      <c r="L92" s="339">
        <f t="shared" si="11"/>
        <v>2.0000000000729283</v>
      </c>
      <c r="M92" s="339">
        <f t="shared" si="11"/>
        <v>2.0000000000729283</v>
      </c>
      <c r="N92" s="339">
        <f t="shared" si="11"/>
        <v>2.0000000000729283</v>
      </c>
      <c r="O92" s="339">
        <f t="shared" si="11"/>
        <v>2.0000000000729283</v>
      </c>
    </row>
    <row r="93" spans="1:15" x14ac:dyDescent="0.25">
      <c r="A93" s="91">
        <v>75</v>
      </c>
      <c r="B93" s="327">
        <v>2092</v>
      </c>
      <c r="C93" s="62">
        <f>HLOOKUP(B93,'FT Combined ARAM Summary'!$A$5:$CJ$14,10,0)</f>
        <v>0</v>
      </c>
      <c r="D93" s="347">
        <f t="shared" si="8"/>
        <v>2.0000000000729283</v>
      </c>
      <c r="E93" s="339">
        <f t="shared" si="11"/>
        <v>2.0000000000729283</v>
      </c>
      <c r="F93" s="339">
        <f t="shared" si="11"/>
        <v>2.0000000000729283</v>
      </c>
      <c r="G93" s="339">
        <f t="shared" si="11"/>
        <v>2.0000000000729283</v>
      </c>
      <c r="H93" s="339">
        <f t="shared" si="11"/>
        <v>2.0000000000729283</v>
      </c>
      <c r="I93" s="339">
        <f t="shared" si="11"/>
        <v>2.0000000000729283</v>
      </c>
      <c r="J93" s="339">
        <f t="shared" si="11"/>
        <v>2.0000000000729283</v>
      </c>
      <c r="K93" s="339">
        <f t="shared" si="11"/>
        <v>2.0000000000729283</v>
      </c>
      <c r="L93" s="339">
        <f t="shared" si="11"/>
        <v>2.0000000000729283</v>
      </c>
      <c r="M93" s="339">
        <f t="shared" si="11"/>
        <v>2.0000000000729283</v>
      </c>
      <c r="N93" s="339">
        <f t="shared" si="11"/>
        <v>2.0000000000729283</v>
      </c>
      <c r="O93" s="339">
        <f t="shared" si="11"/>
        <v>2.0000000000729283</v>
      </c>
    </row>
    <row r="94" spans="1:15" x14ac:dyDescent="0.25">
      <c r="A94" s="91">
        <v>76</v>
      </c>
      <c r="B94" s="327">
        <v>2093</v>
      </c>
      <c r="C94" s="62">
        <f>HLOOKUP(B94,'FT Combined ARAM Summary'!$A$5:$CJ$14,10,0)</f>
        <v>0</v>
      </c>
      <c r="D94" s="347">
        <f t="shared" si="8"/>
        <v>2.0000000000729283</v>
      </c>
      <c r="E94" s="339">
        <f t="shared" si="11"/>
        <v>2.0000000000729283</v>
      </c>
      <c r="F94" s="339">
        <f t="shared" si="11"/>
        <v>2.0000000000729283</v>
      </c>
      <c r="G94" s="339">
        <f t="shared" si="11"/>
        <v>2.0000000000729283</v>
      </c>
      <c r="H94" s="339">
        <f t="shared" si="11"/>
        <v>2.0000000000729283</v>
      </c>
      <c r="I94" s="339">
        <f t="shared" si="11"/>
        <v>2.0000000000729283</v>
      </c>
      <c r="J94" s="339">
        <f t="shared" si="11"/>
        <v>2.0000000000729283</v>
      </c>
      <c r="K94" s="339">
        <f t="shared" si="11"/>
        <v>2.0000000000729283</v>
      </c>
      <c r="L94" s="339">
        <f t="shared" si="11"/>
        <v>2.0000000000729283</v>
      </c>
      <c r="M94" s="339">
        <f t="shared" si="11"/>
        <v>2.0000000000729283</v>
      </c>
      <c r="N94" s="339">
        <f t="shared" si="11"/>
        <v>2.0000000000729283</v>
      </c>
      <c r="O94" s="339">
        <f t="shared" si="11"/>
        <v>2.0000000000729283</v>
      </c>
    </row>
    <row r="95" spans="1:15" x14ac:dyDescent="0.25">
      <c r="A95" s="91">
        <v>77</v>
      </c>
      <c r="B95" s="327">
        <v>2094</v>
      </c>
      <c r="C95" s="62">
        <f>HLOOKUP(B95,'FT Combined ARAM Summary'!$A$5:$CJ$14,10,0)</f>
        <v>0</v>
      </c>
      <c r="D95" s="347">
        <f t="shared" si="8"/>
        <v>2.0000000000729283</v>
      </c>
      <c r="E95" s="339">
        <f t="shared" si="11"/>
        <v>2.0000000000729283</v>
      </c>
      <c r="F95" s="339">
        <f t="shared" si="11"/>
        <v>2.0000000000729283</v>
      </c>
      <c r="G95" s="339">
        <f t="shared" si="11"/>
        <v>2.0000000000729283</v>
      </c>
      <c r="H95" s="339">
        <f t="shared" si="11"/>
        <v>2.0000000000729283</v>
      </c>
      <c r="I95" s="339">
        <f t="shared" si="11"/>
        <v>2.0000000000729283</v>
      </c>
      <c r="J95" s="339">
        <f t="shared" si="11"/>
        <v>2.0000000000729283</v>
      </c>
      <c r="K95" s="339">
        <f t="shared" si="11"/>
        <v>2.0000000000729283</v>
      </c>
      <c r="L95" s="339">
        <f t="shared" si="11"/>
        <v>2.0000000000729283</v>
      </c>
      <c r="M95" s="339">
        <f t="shared" si="11"/>
        <v>2.0000000000729283</v>
      </c>
      <c r="N95" s="339">
        <f t="shared" si="11"/>
        <v>2.0000000000729283</v>
      </c>
      <c r="O95" s="339">
        <f t="shared" si="11"/>
        <v>2.0000000000729283</v>
      </c>
    </row>
    <row r="96" spans="1:15" x14ac:dyDescent="0.25">
      <c r="A96" s="91">
        <v>78</v>
      </c>
      <c r="B96" s="327">
        <v>2095</v>
      </c>
      <c r="C96" s="62">
        <f>HLOOKUP(B96,'FT Combined ARAM Summary'!$A$5:$CJ$14,10,0)</f>
        <v>0</v>
      </c>
      <c r="D96" s="347">
        <f t="shared" si="8"/>
        <v>2.0000000000729283</v>
      </c>
      <c r="E96" s="339">
        <f t="shared" si="11"/>
        <v>2.0000000000729283</v>
      </c>
      <c r="F96" s="339">
        <f t="shared" si="11"/>
        <v>2.0000000000729283</v>
      </c>
      <c r="G96" s="339">
        <f t="shared" si="11"/>
        <v>2.0000000000729283</v>
      </c>
      <c r="H96" s="339">
        <f t="shared" si="11"/>
        <v>2.0000000000729283</v>
      </c>
      <c r="I96" s="339">
        <f t="shared" si="11"/>
        <v>2.0000000000729283</v>
      </c>
      <c r="J96" s="339">
        <f t="shared" si="11"/>
        <v>2.0000000000729283</v>
      </c>
      <c r="K96" s="339">
        <f t="shared" si="11"/>
        <v>2.0000000000729283</v>
      </c>
      <c r="L96" s="339">
        <f t="shared" si="11"/>
        <v>2.0000000000729283</v>
      </c>
      <c r="M96" s="339">
        <f t="shared" si="11"/>
        <v>2.0000000000729283</v>
      </c>
      <c r="N96" s="339">
        <f t="shared" si="11"/>
        <v>2.0000000000729283</v>
      </c>
      <c r="O96" s="339">
        <f t="shared" si="11"/>
        <v>2.0000000000729283</v>
      </c>
    </row>
    <row r="97" spans="1:15" x14ac:dyDescent="0.25">
      <c r="A97" s="91">
        <v>79</v>
      </c>
      <c r="B97" s="327">
        <v>2096</v>
      </c>
      <c r="C97" s="62">
        <f>HLOOKUP(B97,'FT Combined ARAM Summary'!$A$5:$CJ$14,10,0)</f>
        <v>0</v>
      </c>
      <c r="D97" s="347">
        <f t="shared" si="8"/>
        <v>2.0000000000729283</v>
      </c>
      <c r="E97" s="339">
        <f t="shared" ref="E97:O101" si="12">+D97-($C97/12)</f>
        <v>2.0000000000729283</v>
      </c>
      <c r="F97" s="339">
        <f t="shared" si="12"/>
        <v>2.0000000000729283</v>
      </c>
      <c r="G97" s="339">
        <f t="shared" si="12"/>
        <v>2.0000000000729283</v>
      </c>
      <c r="H97" s="339">
        <f t="shared" si="12"/>
        <v>2.0000000000729283</v>
      </c>
      <c r="I97" s="339">
        <f t="shared" si="12"/>
        <v>2.0000000000729283</v>
      </c>
      <c r="J97" s="339">
        <f t="shared" si="12"/>
        <v>2.0000000000729283</v>
      </c>
      <c r="K97" s="339">
        <f t="shared" si="12"/>
        <v>2.0000000000729283</v>
      </c>
      <c r="L97" s="339">
        <f t="shared" si="12"/>
        <v>2.0000000000729283</v>
      </c>
      <c r="M97" s="339">
        <f t="shared" si="12"/>
        <v>2.0000000000729283</v>
      </c>
      <c r="N97" s="339">
        <f t="shared" si="12"/>
        <v>2.0000000000729283</v>
      </c>
      <c r="O97" s="339">
        <f t="shared" si="12"/>
        <v>2.0000000000729283</v>
      </c>
    </row>
    <row r="98" spans="1:15" x14ac:dyDescent="0.25">
      <c r="A98" s="91">
        <v>80</v>
      </c>
      <c r="B98" s="327">
        <v>2097</v>
      </c>
      <c r="C98" s="62">
        <f>HLOOKUP(B98,'FT Combined ARAM Summary'!$A$5:$CJ$14,10,0)</f>
        <v>0</v>
      </c>
      <c r="D98" s="347">
        <f t="shared" si="8"/>
        <v>2.0000000000729283</v>
      </c>
      <c r="E98" s="339">
        <f t="shared" si="12"/>
        <v>2.0000000000729283</v>
      </c>
      <c r="F98" s="339">
        <f t="shared" si="12"/>
        <v>2.0000000000729283</v>
      </c>
      <c r="G98" s="339">
        <f t="shared" si="12"/>
        <v>2.0000000000729283</v>
      </c>
      <c r="H98" s="339">
        <f t="shared" si="12"/>
        <v>2.0000000000729283</v>
      </c>
      <c r="I98" s="339">
        <f t="shared" si="12"/>
        <v>2.0000000000729283</v>
      </c>
      <c r="J98" s="339">
        <f t="shared" si="12"/>
        <v>2.0000000000729283</v>
      </c>
      <c r="K98" s="339">
        <f t="shared" si="12"/>
        <v>2.0000000000729283</v>
      </c>
      <c r="L98" s="339">
        <f t="shared" si="12"/>
        <v>2.0000000000729283</v>
      </c>
      <c r="M98" s="339">
        <f t="shared" si="12"/>
        <v>2.0000000000729283</v>
      </c>
      <c r="N98" s="339">
        <f t="shared" si="12"/>
        <v>2.0000000000729283</v>
      </c>
      <c r="O98" s="339">
        <f t="shared" si="12"/>
        <v>2.0000000000729283</v>
      </c>
    </row>
    <row r="99" spans="1:15" x14ac:dyDescent="0.25">
      <c r="A99" s="91">
        <v>81</v>
      </c>
      <c r="B99" s="327">
        <v>2098</v>
      </c>
      <c r="C99" s="62">
        <f>HLOOKUP(B99,'FT Combined ARAM Summary'!$A$5:$CJ$14,10,0)</f>
        <v>0</v>
      </c>
      <c r="D99" s="347">
        <f t="shared" si="8"/>
        <v>2.0000000000729283</v>
      </c>
      <c r="E99" s="339">
        <f t="shared" si="12"/>
        <v>2.0000000000729283</v>
      </c>
      <c r="F99" s="339">
        <f t="shared" si="12"/>
        <v>2.0000000000729283</v>
      </c>
      <c r="G99" s="339">
        <f t="shared" si="12"/>
        <v>2.0000000000729283</v>
      </c>
      <c r="H99" s="339">
        <f t="shared" si="12"/>
        <v>2.0000000000729283</v>
      </c>
      <c r="I99" s="339">
        <f t="shared" si="12"/>
        <v>2.0000000000729283</v>
      </c>
      <c r="J99" s="339">
        <f t="shared" si="12"/>
        <v>2.0000000000729283</v>
      </c>
      <c r="K99" s="339">
        <f t="shared" si="12"/>
        <v>2.0000000000729283</v>
      </c>
      <c r="L99" s="339">
        <f t="shared" si="12"/>
        <v>2.0000000000729283</v>
      </c>
      <c r="M99" s="339">
        <f t="shared" si="12"/>
        <v>2.0000000000729283</v>
      </c>
      <c r="N99" s="339">
        <f t="shared" si="12"/>
        <v>2.0000000000729283</v>
      </c>
      <c r="O99" s="339">
        <f t="shared" si="12"/>
        <v>2.0000000000729283</v>
      </c>
    </row>
    <row r="100" spans="1:15" x14ac:dyDescent="0.25">
      <c r="A100" s="91">
        <v>82</v>
      </c>
      <c r="B100" s="327">
        <v>2099</v>
      </c>
      <c r="C100" s="62">
        <f>HLOOKUP(B100,'FT Combined ARAM Summary'!$A$5:$CJ$14,10,0)</f>
        <v>0</v>
      </c>
      <c r="D100" s="347">
        <f t="shared" si="8"/>
        <v>2.0000000000729283</v>
      </c>
      <c r="E100" s="339">
        <f t="shared" si="12"/>
        <v>2.0000000000729283</v>
      </c>
      <c r="F100" s="339">
        <f t="shared" si="12"/>
        <v>2.0000000000729283</v>
      </c>
      <c r="G100" s="339">
        <f t="shared" si="12"/>
        <v>2.0000000000729283</v>
      </c>
      <c r="H100" s="339">
        <f t="shared" si="12"/>
        <v>2.0000000000729283</v>
      </c>
      <c r="I100" s="339">
        <f t="shared" si="12"/>
        <v>2.0000000000729283</v>
      </c>
      <c r="J100" s="339">
        <f t="shared" si="12"/>
        <v>2.0000000000729283</v>
      </c>
      <c r="K100" s="339">
        <f t="shared" si="12"/>
        <v>2.0000000000729283</v>
      </c>
      <c r="L100" s="339">
        <f t="shared" si="12"/>
        <v>2.0000000000729283</v>
      </c>
      <c r="M100" s="339">
        <f t="shared" si="12"/>
        <v>2.0000000000729283</v>
      </c>
      <c r="N100" s="339">
        <f t="shared" si="12"/>
        <v>2.0000000000729283</v>
      </c>
      <c r="O100" s="339">
        <f t="shared" si="12"/>
        <v>2.0000000000729283</v>
      </c>
    </row>
    <row r="101" spans="1:15" x14ac:dyDescent="0.25">
      <c r="A101" s="91">
        <v>83</v>
      </c>
      <c r="B101" s="327">
        <v>2100</v>
      </c>
      <c r="C101" s="62">
        <f>HLOOKUP(B101,'FT Combined ARAM Summary'!$A$5:$CJ$14,10,0)</f>
        <v>0</v>
      </c>
      <c r="D101" s="347">
        <f t="shared" si="8"/>
        <v>2.0000000000729283</v>
      </c>
      <c r="E101" s="339">
        <f t="shared" si="12"/>
        <v>2.0000000000729283</v>
      </c>
      <c r="F101" s="339">
        <f t="shared" si="12"/>
        <v>2.0000000000729283</v>
      </c>
      <c r="G101" s="339">
        <f t="shared" si="12"/>
        <v>2.0000000000729283</v>
      </c>
      <c r="H101" s="339">
        <f t="shared" si="12"/>
        <v>2.0000000000729283</v>
      </c>
      <c r="I101" s="339">
        <f t="shared" si="12"/>
        <v>2.0000000000729283</v>
      </c>
      <c r="J101" s="339">
        <f t="shared" si="12"/>
        <v>2.0000000000729283</v>
      </c>
      <c r="K101" s="339">
        <f t="shared" si="12"/>
        <v>2.0000000000729283</v>
      </c>
      <c r="L101" s="339">
        <f t="shared" si="12"/>
        <v>2.0000000000729283</v>
      </c>
      <c r="M101" s="339">
        <f t="shared" si="12"/>
        <v>2.0000000000729283</v>
      </c>
      <c r="N101" s="339">
        <f t="shared" si="12"/>
        <v>2.0000000000729283</v>
      </c>
      <c r="O101" s="339">
        <f t="shared" si="12"/>
        <v>2.0000000000729283</v>
      </c>
    </row>
  </sheetData>
  <pageMargins left="0.7" right="0.7" top="0.75" bottom="0.75" header="0.3" footer="0.3"/>
  <pageSetup scale="35" orientation="landscape" r:id="rId1"/>
  <headerFooter>
    <oddFooter>&amp;L&amp;Z&amp;F&amp;R&amp;A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55"/>
  <sheetViews>
    <sheetView workbookViewId="0">
      <selection activeCell="E9" sqref="E9"/>
    </sheetView>
  </sheetViews>
  <sheetFormatPr defaultRowHeight="12.75" x14ac:dyDescent="0.2"/>
  <cols>
    <col min="1" max="1" width="23" style="108" customWidth="1"/>
    <col min="2" max="3" width="13.5703125" style="107" customWidth="1"/>
    <col min="4" max="4" width="13.5703125" style="108" customWidth="1"/>
    <col min="5" max="5" width="15.5703125" style="108" bestFit="1" customWidth="1"/>
    <col min="6" max="6" width="40.7109375" style="108" customWidth="1"/>
    <col min="7" max="9" width="1.7109375" style="108" customWidth="1"/>
    <col min="10" max="10" width="12.7109375" style="107" customWidth="1"/>
    <col min="11" max="14" width="7.7109375" style="113" customWidth="1"/>
    <col min="15" max="15" width="7.7109375" style="108" customWidth="1"/>
    <col min="16" max="18" width="10.7109375" style="108" customWidth="1"/>
    <col min="19" max="16384" width="9.140625" style="108"/>
  </cols>
  <sheetData>
    <row r="1" spans="1:18" ht="18" customHeight="1" x14ac:dyDescent="0.35">
      <c r="A1" s="105" t="s">
        <v>364</v>
      </c>
      <c r="B1" s="106" t="s">
        <v>24</v>
      </c>
      <c r="E1" s="105" t="s">
        <v>365</v>
      </c>
      <c r="F1" s="109"/>
      <c r="J1" s="110">
        <f>SUBTOTAL(9,B8:B46)</f>
        <v>1570</v>
      </c>
      <c r="K1" s="111" t="s">
        <v>366</v>
      </c>
      <c r="L1" s="112"/>
    </row>
    <row r="2" spans="1:18" ht="18" customHeight="1" x14ac:dyDescent="0.35">
      <c r="A2" s="105" t="s">
        <v>367</v>
      </c>
      <c r="B2" s="106"/>
      <c r="E2" s="105" t="s">
        <v>368</v>
      </c>
      <c r="F2" s="114"/>
      <c r="J2" s="115" t="s">
        <v>369</v>
      </c>
    </row>
    <row r="3" spans="1:18" ht="18" customHeight="1" x14ac:dyDescent="0.35">
      <c r="A3" s="105" t="s">
        <v>370</v>
      </c>
      <c r="B3" s="116" t="s">
        <v>371</v>
      </c>
      <c r="E3" s="105" t="s">
        <v>372</v>
      </c>
      <c r="F3" s="114"/>
      <c r="J3" s="117">
        <f>SUBTOTAL(9,J8:J46)</f>
        <v>969</v>
      </c>
      <c r="K3" s="118">
        <f>SUBTOTAL(3,K8:K46)</f>
        <v>2</v>
      </c>
      <c r="L3" s="119" t="s">
        <v>373</v>
      </c>
      <c r="M3" s="120">
        <f>LEN(B3)</f>
        <v>12</v>
      </c>
      <c r="N3" s="121" t="s">
        <v>374</v>
      </c>
      <c r="O3" s="122"/>
      <c r="P3" s="123"/>
      <c r="Q3" s="123"/>
    </row>
    <row r="4" spans="1:18" ht="18" customHeight="1" thickBot="1" x14ac:dyDescent="0.4">
      <c r="A4" s="105" t="s">
        <v>375</v>
      </c>
      <c r="B4" s="106" t="s">
        <v>39</v>
      </c>
      <c r="E4" s="105" t="s">
        <v>376</v>
      </c>
      <c r="F4" s="114"/>
    </row>
    <row r="5" spans="1:18" ht="18" customHeight="1" thickBot="1" x14ac:dyDescent="0.35">
      <c r="A5" s="105" t="s">
        <v>377</v>
      </c>
      <c r="B5" s="124">
        <v>43190</v>
      </c>
      <c r="F5" s="125" t="str">
        <f>IF(J5="Y","&gt; &gt; &gt; &gt;  REVERSING  &lt; &lt; &lt; &lt;    ","")</f>
        <v/>
      </c>
      <c r="J5" s="126" t="s">
        <v>378</v>
      </c>
      <c r="K5" s="127" t="s">
        <v>379</v>
      </c>
      <c r="L5" s="128"/>
      <c r="M5" s="129"/>
    </row>
    <row r="6" spans="1:18" ht="6" customHeight="1" x14ac:dyDescent="0.2"/>
    <row r="7" spans="1:18" ht="25.5" x14ac:dyDescent="0.2">
      <c r="A7" s="130" t="s">
        <v>380</v>
      </c>
      <c r="B7" s="131" t="s">
        <v>381</v>
      </c>
      <c r="C7" s="131" t="s">
        <v>382</v>
      </c>
      <c r="D7" s="130" t="s">
        <v>383</v>
      </c>
      <c r="E7" s="130" t="s">
        <v>384</v>
      </c>
      <c r="F7" s="130" t="s">
        <v>10</v>
      </c>
      <c r="G7" s="132" t="s">
        <v>385</v>
      </c>
      <c r="H7" s="132" t="s">
        <v>386</v>
      </c>
      <c r="I7" s="132" t="s">
        <v>387</v>
      </c>
      <c r="J7" s="131" t="s">
        <v>9</v>
      </c>
      <c r="K7" s="133" t="s">
        <v>388</v>
      </c>
      <c r="L7" s="133" t="s">
        <v>389</v>
      </c>
      <c r="M7" s="133" t="s">
        <v>390</v>
      </c>
      <c r="N7" s="133" t="s">
        <v>391</v>
      </c>
      <c r="O7" s="133" t="s">
        <v>392</v>
      </c>
      <c r="P7" s="133" t="s">
        <v>393</v>
      </c>
      <c r="Q7" s="133" t="s">
        <v>394</v>
      </c>
      <c r="R7" s="133" t="s">
        <v>395</v>
      </c>
    </row>
    <row r="8" spans="1:18" hidden="1" x14ac:dyDescent="0.2">
      <c r="A8" s="134" t="str">
        <f t="shared" ref="A8:A45" si="0">UPPER(K8&amp;"-"&amp;L8&amp;"-"&amp;M8&amp;"-"&amp;N8)</f>
        <v>AE01-AA700-25BN-2832</v>
      </c>
      <c r="B8" s="135">
        <f t="shared" ref="B8:B45" si="1">ROUND(IF($J8&gt;0,$J8,0),2)</f>
        <v>18395</v>
      </c>
      <c r="C8" s="135">
        <f t="shared" ref="C8:C45" si="2">ROUND(IF($J8&lt;0,-$J8,0),2)</f>
        <v>0</v>
      </c>
      <c r="D8" s="136"/>
      <c r="E8" s="136"/>
      <c r="F8" s="134" t="str">
        <f t="shared" ref="F8:F45" si="3">$B$3&amp;"-"&amp;P8</f>
        <v>Recl YE ADIT-LT Stock</v>
      </c>
      <c r="G8" s="137"/>
      <c r="H8" s="137"/>
      <c r="I8" s="137"/>
      <c r="J8" s="138">
        <v>18395</v>
      </c>
      <c r="K8" s="139" t="s">
        <v>396</v>
      </c>
      <c r="L8" s="139" t="s">
        <v>91</v>
      </c>
      <c r="M8" s="139" t="s">
        <v>44</v>
      </c>
      <c r="N8" s="139" t="s">
        <v>20</v>
      </c>
      <c r="O8" s="137">
        <f t="shared" ref="O8:O45" si="4">LEN(F8)</f>
        <v>21</v>
      </c>
      <c r="P8" s="140" t="s">
        <v>397</v>
      </c>
    </row>
    <row r="9" spans="1:18" hidden="1" x14ac:dyDescent="0.2">
      <c r="A9" s="86" t="str">
        <f t="shared" si="0"/>
        <v>CF00-AA700-25BN-2832</v>
      </c>
      <c r="B9" s="141">
        <f t="shared" si="1"/>
        <v>49316</v>
      </c>
      <c r="C9" s="141">
        <f t="shared" si="2"/>
        <v>0</v>
      </c>
      <c r="D9" s="137"/>
      <c r="E9" s="137"/>
      <c r="F9" s="86" t="str">
        <f t="shared" si="3"/>
        <v>Recl YE ADIT-LT Stock</v>
      </c>
      <c r="G9" s="137"/>
      <c r="H9" s="137"/>
      <c r="I9" s="137"/>
      <c r="J9" s="138">
        <v>49316</v>
      </c>
      <c r="K9" s="139" t="s">
        <v>253</v>
      </c>
      <c r="L9" s="139" t="s">
        <v>91</v>
      </c>
      <c r="M9" s="142" t="str">
        <f t="shared" ref="M9:N24" si="5">M8</f>
        <v>25BN</v>
      </c>
      <c r="N9" s="142" t="str">
        <f t="shared" si="5"/>
        <v>2832</v>
      </c>
      <c r="O9" s="137">
        <f t="shared" si="4"/>
        <v>21</v>
      </c>
      <c r="P9" s="143" t="str">
        <f t="shared" ref="P9:P26" si="6">P8</f>
        <v>LT Stock</v>
      </c>
    </row>
    <row r="10" spans="1:18" hidden="1" x14ac:dyDescent="0.2">
      <c r="A10" s="86" t="str">
        <f t="shared" si="0"/>
        <v>DE00-AA700-25BN-2832</v>
      </c>
      <c r="B10" s="141">
        <f t="shared" si="1"/>
        <v>79158</v>
      </c>
      <c r="C10" s="141">
        <f t="shared" si="2"/>
        <v>0</v>
      </c>
      <c r="D10" s="137"/>
      <c r="E10" s="137"/>
      <c r="F10" s="86" t="str">
        <f t="shared" si="3"/>
        <v>Recl YE ADIT-LT Stock</v>
      </c>
      <c r="G10" s="137"/>
      <c r="H10" s="137"/>
      <c r="I10" s="137"/>
      <c r="J10" s="138">
        <v>79158</v>
      </c>
      <c r="K10" s="139" t="s">
        <v>56</v>
      </c>
      <c r="L10" s="139" t="s">
        <v>91</v>
      </c>
      <c r="M10" s="142" t="str">
        <f t="shared" si="5"/>
        <v>25BN</v>
      </c>
      <c r="N10" s="142" t="str">
        <f t="shared" si="5"/>
        <v>2832</v>
      </c>
      <c r="O10" s="137">
        <f t="shared" si="4"/>
        <v>21</v>
      </c>
      <c r="P10" s="143" t="str">
        <f t="shared" si="6"/>
        <v>LT Stock</v>
      </c>
    </row>
    <row r="11" spans="1:18" hidden="1" x14ac:dyDescent="0.2">
      <c r="A11" s="86" t="str">
        <f t="shared" si="0"/>
        <v>EF00-AA700-25BN-2832</v>
      </c>
      <c r="B11" s="141">
        <f t="shared" si="1"/>
        <v>23907</v>
      </c>
      <c r="C11" s="141">
        <f t="shared" si="2"/>
        <v>0</v>
      </c>
      <c r="D11" s="137"/>
      <c r="E11" s="137"/>
      <c r="F11" s="86" t="str">
        <f t="shared" si="3"/>
        <v>Recl YE ADIT-LT Stock</v>
      </c>
      <c r="G11" s="137"/>
      <c r="H11" s="137"/>
      <c r="I11" s="137"/>
      <c r="J11" s="138">
        <v>23907</v>
      </c>
      <c r="K11" s="139" t="s">
        <v>398</v>
      </c>
      <c r="L11" s="139" t="s">
        <v>91</v>
      </c>
      <c r="M11" s="142" t="str">
        <f t="shared" si="5"/>
        <v>25BN</v>
      </c>
      <c r="N11" s="142" t="str">
        <f t="shared" si="5"/>
        <v>2832</v>
      </c>
      <c r="O11" s="137">
        <f t="shared" si="4"/>
        <v>21</v>
      </c>
      <c r="P11" s="143" t="str">
        <f t="shared" si="6"/>
        <v>LT Stock</v>
      </c>
    </row>
    <row r="12" spans="1:18" hidden="1" x14ac:dyDescent="0.2">
      <c r="A12" s="86" t="str">
        <f t="shared" si="0"/>
        <v>ES00-AA700-25BN-2832</v>
      </c>
      <c r="B12" s="141">
        <f t="shared" si="1"/>
        <v>225106</v>
      </c>
      <c r="C12" s="141">
        <f t="shared" si="2"/>
        <v>0</v>
      </c>
      <c r="D12" s="137"/>
      <c r="E12" s="137"/>
      <c r="F12" s="86" t="str">
        <f t="shared" si="3"/>
        <v>Recl YE ADIT-LT Stock</v>
      </c>
      <c r="G12" s="137"/>
      <c r="H12" s="137"/>
      <c r="I12" s="137"/>
      <c r="J12" s="138">
        <v>225106</v>
      </c>
      <c r="K12" s="139" t="s">
        <v>256</v>
      </c>
      <c r="L12" s="139" t="s">
        <v>91</v>
      </c>
      <c r="M12" s="142" t="str">
        <f t="shared" si="5"/>
        <v>25BN</v>
      </c>
      <c r="N12" s="142" t="str">
        <f t="shared" si="5"/>
        <v>2832</v>
      </c>
      <c r="O12" s="137">
        <f t="shared" si="4"/>
        <v>21</v>
      </c>
      <c r="P12" s="143" t="str">
        <f t="shared" si="6"/>
        <v>LT Stock</v>
      </c>
    </row>
    <row r="13" spans="1:18" hidden="1" x14ac:dyDescent="0.2">
      <c r="A13" s="86" t="str">
        <f t="shared" si="0"/>
        <v>FE00-AA700-25BN-2832</v>
      </c>
      <c r="B13" s="141">
        <f t="shared" si="1"/>
        <v>55228</v>
      </c>
      <c r="C13" s="141">
        <f t="shared" si="2"/>
        <v>0</v>
      </c>
      <c r="D13" s="137"/>
      <c r="E13" s="137"/>
      <c r="F13" s="86" t="str">
        <f t="shared" si="3"/>
        <v>Recl YE ADIT-LT Stock</v>
      </c>
      <c r="G13" s="137"/>
      <c r="H13" s="137"/>
      <c r="I13" s="137"/>
      <c r="J13" s="138">
        <v>55228</v>
      </c>
      <c r="K13" s="139" t="s">
        <v>241</v>
      </c>
      <c r="L13" s="139" t="s">
        <v>91</v>
      </c>
      <c r="M13" s="142" t="str">
        <f t="shared" si="5"/>
        <v>25BN</v>
      </c>
      <c r="N13" s="142" t="str">
        <f t="shared" si="5"/>
        <v>2832</v>
      </c>
      <c r="O13" s="137">
        <f t="shared" si="4"/>
        <v>21</v>
      </c>
      <c r="P13" s="143" t="str">
        <f t="shared" si="6"/>
        <v>LT Stock</v>
      </c>
    </row>
    <row r="14" spans="1:18" hidden="1" x14ac:dyDescent="0.2">
      <c r="A14" s="86" t="str">
        <f t="shared" si="0"/>
        <v>FF00-AA700-25BN-2832</v>
      </c>
      <c r="B14" s="141">
        <f t="shared" si="1"/>
        <v>13795</v>
      </c>
      <c r="C14" s="141">
        <f t="shared" si="2"/>
        <v>0</v>
      </c>
      <c r="D14" s="137"/>
      <c r="E14" s="137"/>
      <c r="F14" s="86" t="str">
        <f t="shared" si="3"/>
        <v>Recl YE ADIT-LT Stock</v>
      </c>
      <c r="G14" s="137"/>
      <c r="H14" s="137"/>
      <c r="I14" s="137"/>
      <c r="J14" s="138">
        <v>13795</v>
      </c>
      <c r="K14" s="139" t="s">
        <v>399</v>
      </c>
      <c r="L14" s="139" t="s">
        <v>91</v>
      </c>
      <c r="M14" s="142" t="str">
        <f t="shared" si="5"/>
        <v>25BN</v>
      </c>
      <c r="N14" s="142" t="str">
        <f t="shared" si="5"/>
        <v>2832</v>
      </c>
      <c r="O14" s="137">
        <f t="shared" si="4"/>
        <v>21</v>
      </c>
      <c r="P14" s="143" t="str">
        <f t="shared" si="6"/>
        <v>LT Stock</v>
      </c>
    </row>
    <row r="15" spans="1:18" hidden="1" x14ac:dyDescent="0.2">
      <c r="A15" s="86" t="str">
        <f t="shared" si="0"/>
        <v>FI00-AA700-25BN-2832</v>
      </c>
      <c r="B15" s="141">
        <f t="shared" si="1"/>
        <v>1876</v>
      </c>
      <c r="C15" s="141">
        <f t="shared" si="2"/>
        <v>0</v>
      </c>
      <c r="D15" s="137"/>
      <c r="E15" s="137"/>
      <c r="F15" s="86" t="str">
        <f t="shared" si="3"/>
        <v>Recl YE ADIT-LT Stock</v>
      </c>
      <c r="G15" s="137"/>
      <c r="H15" s="137"/>
      <c r="I15" s="137"/>
      <c r="J15" s="138">
        <v>1876</v>
      </c>
      <c r="K15" s="139" t="s">
        <v>267</v>
      </c>
      <c r="L15" s="139" t="s">
        <v>91</v>
      </c>
      <c r="M15" s="142" t="str">
        <f t="shared" si="5"/>
        <v>25BN</v>
      </c>
      <c r="N15" s="142" t="str">
        <f t="shared" si="5"/>
        <v>2832</v>
      </c>
      <c r="O15" s="137">
        <f t="shared" si="4"/>
        <v>21</v>
      </c>
      <c r="P15" s="143" t="str">
        <f t="shared" si="6"/>
        <v>LT Stock</v>
      </c>
    </row>
    <row r="16" spans="1:18" hidden="1" x14ac:dyDescent="0.2">
      <c r="A16" s="86" t="str">
        <f t="shared" si="0"/>
        <v>FM00-AA700-25BN-2832</v>
      </c>
      <c r="B16" s="141">
        <f t="shared" si="1"/>
        <v>965</v>
      </c>
      <c r="C16" s="141">
        <f t="shared" si="2"/>
        <v>0</v>
      </c>
      <c r="D16" s="137"/>
      <c r="E16" s="137"/>
      <c r="F16" s="86" t="str">
        <f t="shared" si="3"/>
        <v>Recl YE ADIT-LT Stock</v>
      </c>
      <c r="G16" s="137"/>
      <c r="H16" s="137"/>
      <c r="I16" s="137"/>
      <c r="J16" s="138">
        <v>965</v>
      </c>
      <c r="K16" s="139" t="s">
        <v>400</v>
      </c>
      <c r="L16" s="139" t="s">
        <v>91</v>
      </c>
      <c r="M16" s="142" t="str">
        <f t="shared" si="5"/>
        <v>25BN</v>
      </c>
      <c r="N16" s="142" t="str">
        <f t="shared" si="5"/>
        <v>2832</v>
      </c>
      <c r="O16" s="137">
        <f t="shared" si="4"/>
        <v>21</v>
      </c>
      <c r="P16" s="143" t="str">
        <f t="shared" si="6"/>
        <v>LT Stock</v>
      </c>
    </row>
    <row r="17" spans="1:16" hidden="1" x14ac:dyDescent="0.2">
      <c r="A17" s="86" t="str">
        <f t="shared" si="0"/>
        <v>FN00-AA700-25BN-2832</v>
      </c>
      <c r="B17" s="141">
        <f t="shared" si="1"/>
        <v>117468</v>
      </c>
      <c r="C17" s="141">
        <f t="shared" si="2"/>
        <v>0</v>
      </c>
      <c r="D17" s="137"/>
      <c r="E17" s="137"/>
      <c r="F17" s="86" t="str">
        <f t="shared" si="3"/>
        <v>Recl YE ADIT-LT Stock</v>
      </c>
      <c r="G17" s="137"/>
      <c r="H17" s="137"/>
      <c r="I17" s="137"/>
      <c r="J17" s="138">
        <v>117468</v>
      </c>
      <c r="K17" s="139" t="s">
        <v>259</v>
      </c>
      <c r="L17" s="139" t="s">
        <v>91</v>
      </c>
      <c r="M17" s="142" t="str">
        <f t="shared" si="5"/>
        <v>25BN</v>
      </c>
      <c r="N17" s="142" t="str">
        <f t="shared" si="5"/>
        <v>2832</v>
      </c>
      <c r="O17" s="137">
        <f t="shared" si="4"/>
        <v>21</v>
      </c>
      <c r="P17" s="143" t="str">
        <f t="shared" si="6"/>
        <v>LT Stock</v>
      </c>
    </row>
    <row r="18" spans="1:16" x14ac:dyDescent="0.2">
      <c r="A18" s="86" t="str">
        <f t="shared" si="0"/>
        <v>FT00-AA700-25BN-2832</v>
      </c>
      <c r="B18" s="141">
        <f t="shared" si="1"/>
        <v>1570</v>
      </c>
      <c r="C18" s="141">
        <f t="shared" si="2"/>
        <v>0</v>
      </c>
      <c r="D18" s="137"/>
      <c r="E18" s="137"/>
      <c r="F18" s="86" t="str">
        <f t="shared" si="3"/>
        <v>Recl YE ADIT-LT Stock</v>
      </c>
      <c r="G18" s="137"/>
      <c r="H18" s="137"/>
      <c r="I18" s="137"/>
      <c r="J18" s="138">
        <v>1570</v>
      </c>
      <c r="K18" s="139" t="s">
        <v>261</v>
      </c>
      <c r="L18" s="139" t="s">
        <v>91</v>
      </c>
      <c r="M18" s="142" t="str">
        <f t="shared" si="5"/>
        <v>25BN</v>
      </c>
      <c r="N18" s="142" t="str">
        <f t="shared" si="5"/>
        <v>2832</v>
      </c>
      <c r="O18" s="137">
        <f t="shared" si="4"/>
        <v>21</v>
      </c>
      <c r="P18" s="143" t="str">
        <f t="shared" si="6"/>
        <v>LT Stock</v>
      </c>
    </row>
    <row r="19" spans="1:16" hidden="1" x14ac:dyDescent="0.2">
      <c r="A19" s="86" t="str">
        <f t="shared" si="0"/>
        <v>MD00-AA700-25BN-2832</v>
      </c>
      <c r="B19" s="141">
        <f t="shared" si="1"/>
        <v>20946</v>
      </c>
      <c r="C19" s="141">
        <f t="shared" si="2"/>
        <v>0</v>
      </c>
      <c r="D19" s="137"/>
      <c r="E19" s="137"/>
      <c r="F19" s="86" t="str">
        <f t="shared" si="3"/>
        <v>Recl YE ADIT-LT Stock</v>
      </c>
      <c r="G19" s="137"/>
      <c r="H19" s="137"/>
      <c r="I19" s="137"/>
      <c r="J19" s="138">
        <v>20946</v>
      </c>
      <c r="K19" s="139" t="s">
        <v>30</v>
      </c>
      <c r="L19" s="139" t="s">
        <v>91</v>
      </c>
      <c r="M19" s="142" t="str">
        <f t="shared" si="5"/>
        <v>25BN</v>
      </c>
      <c r="N19" s="142" t="str">
        <f t="shared" si="5"/>
        <v>2832</v>
      </c>
      <c r="O19" s="137">
        <f t="shared" si="4"/>
        <v>21</v>
      </c>
      <c r="P19" s="143" t="str">
        <f t="shared" si="6"/>
        <v>LT Stock</v>
      </c>
    </row>
    <row r="20" spans="1:16" hidden="1" x14ac:dyDescent="0.2">
      <c r="A20" s="86" t="str">
        <f t="shared" si="0"/>
        <v>PC00-AA700-25BN-2832</v>
      </c>
      <c r="B20" s="141">
        <f t="shared" si="1"/>
        <v>28113</v>
      </c>
      <c r="C20" s="141">
        <f t="shared" si="2"/>
        <v>0</v>
      </c>
      <c r="D20" s="137"/>
      <c r="E20" s="137"/>
      <c r="F20" s="86" t="str">
        <f t="shared" si="3"/>
        <v>Recl YE ADIT-LT Stock</v>
      </c>
      <c r="G20" s="137"/>
      <c r="H20" s="137"/>
      <c r="I20" s="137"/>
      <c r="J20" s="138">
        <v>28113</v>
      </c>
      <c r="K20" s="139" t="s">
        <v>401</v>
      </c>
      <c r="L20" s="139" t="s">
        <v>91</v>
      </c>
      <c r="M20" s="142" t="str">
        <f t="shared" si="5"/>
        <v>25BN</v>
      </c>
      <c r="N20" s="142" t="str">
        <f t="shared" si="5"/>
        <v>2832</v>
      </c>
      <c r="O20" s="137">
        <f t="shared" si="4"/>
        <v>21</v>
      </c>
      <c r="P20" s="143" t="str">
        <f t="shared" si="6"/>
        <v>LT Stock</v>
      </c>
    </row>
    <row r="21" spans="1:16" hidden="1" x14ac:dyDescent="0.2">
      <c r="A21" s="86" t="str">
        <f t="shared" si="0"/>
        <v>PS00-AA700-25BN-2832</v>
      </c>
      <c r="B21" s="141">
        <f t="shared" si="1"/>
        <v>20574</v>
      </c>
      <c r="C21" s="141">
        <f t="shared" si="2"/>
        <v>0</v>
      </c>
      <c r="D21" s="137"/>
      <c r="E21" s="137"/>
      <c r="F21" s="86" t="str">
        <f t="shared" si="3"/>
        <v>Recl YE ADIT-LT Stock</v>
      </c>
      <c r="G21" s="137"/>
      <c r="H21" s="137"/>
      <c r="I21" s="137"/>
      <c r="J21" s="138">
        <v>20574</v>
      </c>
      <c r="K21" s="139" t="s">
        <v>402</v>
      </c>
      <c r="L21" s="139" t="s">
        <v>91</v>
      </c>
      <c r="M21" s="142" t="str">
        <f t="shared" si="5"/>
        <v>25BN</v>
      </c>
      <c r="N21" s="142" t="str">
        <f t="shared" si="5"/>
        <v>2832</v>
      </c>
      <c r="O21" s="137">
        <f t="shared" si="4"/>
        <v>21</v>
      </c>
      <c r="P21" s="143" t="str">
        <f t="shared" si="6"/>
        <v>LT Stock</v>
      </c>
    </row>
    <row r="22" spans="1:16" hidden="1" x14ac:dyDescent="0.2">
      <c r="A22" s="86" t="str">
        <f t="shared" si="0"/>
        <v>SC00-AA700-25BN-2832</v>
      </c>
      <c r="B22" s="141">
        <f t="shared" si="1"/>
        <v>6386</v>
      </c>
      <c r="C22" s="141">
        <f t="shared" si="2"/>
        <v>0</v>
      </c>
      <c r="D22" s="137"/>
      <c r="E22" s="137"/>
      <c r="F22" s="86" t="str">
        <f t="shared" si="3"/>
        <v>Recl YE ADIT-LT Stock</v>
      </c>
      <c r="G22" s="137"/>
      <c r="H22" s="137"/>
      <c r="I22" s="137"/>
      <c r="J22" s="138">
        <v>6386</v>
      </c>
      <c r="K22" s="139" t="s">
        <v>403</v>
      </c>
      <c r="L22" s="139" t="s">
        <v>91</v>
      </c>
      <c r="M22" s="142" t="str">
        <f t="shared" si="5"/>
        <v>25BN</v>
      </c>
      <c r="N22" s="142" t="str">
        <f t="shared" si="5"/>
        <v>2832</v>
      </c>
      <c r="O22" s="137">
        <f t="shared" si="4"/>
        <v>21</v>
      </c>
      <c r="P22" s="143" t="str">
        <f t="shared" si="6"/>
        <v>LT Stock</v>
      </c>
    </row>
    <row r="23" spans="1:16" hidden="1" x14ac:dyDescent="0.2">
      <c r="A23" s="86" t="str">
        <f t="shared" si="0"/>
        <v>SG00-AA700-25BN-2832</v>
      </c>
      <c r="B23" s="141">
        <f t="shared" si="1"/>
        <v>29887</v>
      </c>
      <c r="C23" s="141">
        <f t="shared" si="2"/>
        <v>0</v>
      </c>
      <c r="D23" s="137"/>
      <c r="E23" s="137"/>
      <c r="F23" s="86" t="str">
        <f t="shared" si="3"/>
        <v>Recl YE ADIT-LT Stock</v>
      </c>
      <c r="G23" s="137"/>
      <c r="H23" s="137"/>
      <c r="I23" s="137"/>
      <c r="J23" s="138">
        <v>29887</v>
      </c>
      <c r="K23" s="139" t="s">
        <v>404</v>
      </c>
      <c r="L23" s="139" t="s">
        <v>91</v>
      </c>
      <c r="M23" s="142" t="str">
        <f t="shared" si="5"/>
        <v>25BN</v>
      </c>
      <c r="N23" s="142" t="str">
        <f t="shared" si="5"/>
        <v>2832</v>
      </c>
      <c r="O23" s="137">
        <f t="shared" si="4"/>
        <v>21</v>
      </c>
      <c r="P23" s="143" t="str">
        <f t="shared" si="6"/>
        <v>LT Stock</v>
      </c>
    </row>
    <row r="24" spans="1:16" hidden="1" x14ac:dyDescent="0.2">
      <c r="A24" s="86" t="str">
        <f t="shared" si="0"/>
        <v>SK00-AA700-25BN-2832</v>
      </c>
      <c r="B24" s="141">
        <f t="shared" si="1"/>
        <v>981</v>
      </c>
      <c r="C24" s="141">
        <f t="shared" si="2"/>
        <v>0</v>
      </c>
      <c r="D24" s="137"/>
      <c r="E24" s="137"/>
      <c r="F24" s="86" t="str">
        <f t="shared" si="3"/>
        <v>Recl YE ADIT-LT Stock</v>
      </c>
      <c r="G24" s="137"/>
      <c r="H24" s="137"/>
      <c r="I24" s="137"/>
      <c r="J24" s="138">
        <v>981</v>
      </c>
      <c r="K24" s="139" t="s">
        <v>405</v>
      </c>
      <c r="L24" s="139" t="s">
        <v>91</v>
      </c>
      <c r="M24" s="142" t="str">
        <f t="shared" si="5"/>
        <v>25BN</v>
      </c>
      <c r="N24" s="142" t="str">
        <f t="shared" si="5"/>
        <v>2832</v>
      </c>
      <c r="O24" s="137">
        <f t="shared" si="4"/>
        <v>21</v>
      </c>
      <c r="P24" s="143" t="str">
        <f t="shared" si="6"/>
        <v>LT Stock</v>
      </c>
    </row>
    <row r="25" spans="1:16" hidden="1" x14ac:dyDescent="0.2">
      <c r="A25" s="86" t="str">
        <f t="shared" si="0"/>
        <v>WC00-AA700-25BN-2832</v>
      </c>
      <c r="B25" s="141">
        <f t="shared" si="1"/>
        <v>24052</v>
      </c>
      <c r="C25" s="141">
        <f t="shared" si="2"/>
        <v>0</v>
      </c>
      <c r="D25" s="137"/>
      <c r="E25" s="137"/>
      <c r="F25" s="86" t="str">
        <f t="shared" si="3"/>
        <v>Recl YE ADIT-LT Stock</v>
      </c>
      <c r="G25" s="137"/>
      <c r="H25" s="137"/>
      <c r="I25" s="137"/>
      <c r="J25" s="138">
        <v>24052</v>
      </c>
      <c r="K25" s="139" t="s">
        <v>18</v>
      </c>
      <c r="L25" s="139" t="s">
        <v>91</v>
      </c>
      <c r="M25" s="142" t="str">
        <f t="shared" ref="M25:N26" si="7">M24</f>
        <v>25BN</v>
      </c>
      <c r="N25" s="142" t="str">
        <f t="shared" si="7"/>
        <v>2832</v>
      </c>
      <c r="O25" s="137">
        <f t="shared" si="4"/>
        <v>21</v>
      </c>
      <c r="P25" s="143" t="str">
        <f t="shared" si="6"/>
        <v>LT Stock</v>
      </c>
    </row>
    <row r="26" spans="1:16" hidden="1" x14ac:dyDescent="0.2">
      <c r="A26" s="86" t="str">
        <f t="shared" si="0"/>
        <v>CU00-AA700-25BN-2832</v>
      </c>
      <c r="B26" s="141">
        <f t="shared" si="1"/>
        <v>0</v>
      </c>
      <c r="C26" s="141">
        <f t="shared" si="2"/>
        <v>717723</v>
      </c>
      <c r="D26" s="137"/>
      <c r="E26" s="137"/>
      <c r="F26" s="86" t="str">
        <f t="shared" si="3"/>
        <v>Recl YE ADIT-LT Stock</v>
      </c>
      <c r="G26" s="137"/>
      <c r="H26" s="137"/>
      <c r="I26" s="137"/>
      <c r="J26" s="144">
        <f>-SUM(J8:J25)</f>
        <v>-717723</v>
      </c>
      <c r="K26" s="139" t="s">
        <v>24</v>
      </c>
      <c r="L26" s="139" t="s">
        <v>91</v>
      </c>
      <c r="M26" s="142" t="str">
        <f t="shared" si="7"/>
        <v>25BN</v>
      </c>
      <c r="N26" s="142" t="str">
        <f t="shared" si="7"/>
        <v>2832</v>
      </c>
      <c r="O26" s="137">
        <f t="shared" si="4"/>
        <v>21</v>
      </c>
      <c r="P26" s="143" t="str">
        <f t="shared" si="6"/>
        <v>LT Stock</v>
      </c>
    </row>
    <row r="27" spans="1:16" hidden="1" x14ac:dyDescent="0.2">
      <c r="A27" s="134" t="str">
        <f t="shared" si="0"/>
        <v>AE01-AA700-25BN-2832</v>
      </c>
      <c r="B27" s="135">
        <f t="shared" si="1"/>
        <v>0</v>
      </c>
      <c r="C27" s="135">
        <f t="shared" si="2"/>
        <v>7044</v>
      </c>
      <c r="D27" s="136"/>
      <c r="E27" s="136"/>
      <c r="F27" s="134" t="str">
        <f t="shared" si="3"/>
        <v>Recl YE ADIT-LT Stock</v>
      </c>
      <c r="G27" s="137"/>
      <c r="H27" s="137"/>
      <c r="I27" s="137"/>
      <c r="J27" s="138">
        <v>-7044</v>
      </c>
      <c r="K27" s="139" t="s">
        <v>396</v>
      </c>
      <c r="L27" s="139" t="s">
        <v>91</v>
      </c>
      <c r="M27" s="139" t="s">
        <v>44</v>
      </c>
      <c r="N27" s="139" t="s">
        <v>20</v>
      </c>
      <c r="O27" s="137">
        <f t="shared" si="4"/>
        <v>21</v>
      </c>
      <c r="P27" s="140" t="s">
        <v>397</v>
      </c>
    </row>
    <row r="28" spans="1:16" hidden="1" x14ac:dyDescent="0.2">
      <c r="A28" s="86" t="str">
        <f t="shared" si="0"/>
        <v>CF00-AA700-25BN-2832</v>
      </c>
      <c r="B28" s="141">
        <f t="shared" si="1"/>
        <v>0</v>
      </c>
      <c r="C28" s="141">
        <f t="shared" si="2"/>
        <v>18885</v>
      </c>
      <c r="D28" s="137"/>
      <c r="E28" s="137"/>
      <c r="F28" s="86" t="str">
        <f t="shared" si="3"/>
        <v>Recl YE ADIT-LT Stock</v>
      </c>
      <c r="G28" s="137"/>
      <c r="H28" s="137"/>
      <c r="I28" s="137"/>
      <c r="J28" s="138">
        <v>-18885</v>
      </c>
      <c r="K28" s="139" t="s">
        <v>253</v>
      </c>
      <c r="L28" s="139" t="s">
        <v>91</v>
      </c>
      <c r="M28" s="142" t="str">
        <f t="shared" ref="M28:N43" si="8">M27</f>
        <v>25BN</v>
      </c>
      <c r="N28" s="142" t="str">
        <f t="shared" si="8"/>
        <v>2832</v>
      </c>
      <c r="O28" s="137">
        <f t="shared" si="4"/>
        <v>21</v>
      </c>
      <c r="P28" s="143" t="str">
        <f t="shared" ref="P28:P45" si="9">P27</f>
        <v>LT Stock</v>
      </c>
    </row>
    <row r="29" spans="1:16" hidden="1" x14ac:dyDescent="0.2">
      <c r="A29" s="86" t="str">
        <f t="shared" si="0"/>
        <v>DE00-AA700-25BN-2832</v>
      </c>
      <c r="B29" s="141">
        <f t="shared" si="1"/>
        <v>0</v>
      </c>
      <c r="C29" s="141">
        <f t="shared" si="2"/>
        <v>30313</v>
      </c>
      <c r="D29" s="137"/>
      <c r="E29" s="137"/>
      <c r="F29" s="86" t="str">
        <f t="shared" si="3"/>
        <v>Recl YE ADIT-LT Stock</v>
      </c>
      <c r="G29" s="137"/>
      <c r="H29" s="137"/>
      <c r="I29" s="137"/>
      <c r="J29" s="138">
        <v>-30313</v>
      </c>
      <c r="K29" s="139" t="s">
        <v>56</v>
      </c>
      <c r="L29" s="139" t="s">
        <v>91</v>
      </c>
      <c r="M29" s="142" t="str">
        <f t="shared" si="8"/>
        <v>25BN</v>
      </c>
      <c r="N29" s="142" t="str">
        <f t="shared" si="8"/>
        <v>2832</v>
      </c>
      <c r="O29" s="137">
        <f t="shared" si="4"/>
        <v>21</v>
      </c>
      <c r="P29" s="143" t="str">
        <f t="shared" si="9"/>
        <v>LT Stock</v>
      </c>
    </row>
    <row r="30" spans="1:16" hidden="1" x14ac:dyDescent="0.2">
      <c r="A30" s="86" t="str">
        <f t="shared" si="0"/>
        <v>EF00-AA700-25BN-2832</v>
      </c>
      <c r="B30" s="141">
        <f t="shared" si="1"/>
        <v>0</v>
      </c>
      <c r="C30" s="141">
        <f t="shared" si="2"/>
        <v>9155</v>
      </c>
      <c r="D30" s="137"/>
      <c r="E30" s="137"/>
      <c r="F30" s="86" t="str">
        <f t="shared" si="3"/>
        <v>Recl YE ADIT-LT Stock</v>
      </c>
      <c r="G30" s="137"/>
      <c r="H30" s="137"/>
      <c r="I30" s="137"/>
      <c r="J30" s="138">
        <v>-9155</v>
      </c>
      <c r="K30" s="139" t="s">
        <v>398</v>
      </c>
      <c r="L30" s="139" t="s">
        <v>91</v>
      </c>
      <c r="M30" s="142" t="str">
        <f t="shared" si="8"/>
        <v>25BN</v>
      </c>
      <c r="N30" s="142" t="str">
        <f t="shared" si="8"/>
        <v>2832</v>
      </c>
      <c r="O30" s="137">
        <f t="shared" si="4"/>
        <v>21</v>
      </c>
      <c r="P30" s="143" t="str">
        <f t="shared" si="9"/>
        <v>LT Stock</v>
      </c>
    </row>
    <row r="31" spans="1:16" hidden="1" x14ac:dyDescent="0.2">
      <c r="A31" s="86" t="str">
        <f t="shared" si="0"/>
        <v>ES00-AA700-25BN-2832</v>
      </c>
      <c r="B31" s="141">
        <f t="shared" si="1"/>
        <v>0</v>
      </c>
      <c r="C31" s="141">
        <f t="shared" si="2"/>
        <v>86203</v>
      </c>
      <c r="D31" s="137"/>
      <c r="E31" s="137"/>
      <c r="F31" s="86" t="str">
        <f t="shared" si="3"/>
        <v>Recl YE ADIT-LT Stock</v>
      </c>
      <c r="G31" s="137"/>
      <c r="H31" s="137"/>
      <c r="I31" s="137"/>
      <c r="J31" s="138">
        <v>-86203</v>
      </c>
      <c r="K31" s="139" t="s">
        <v>256</v>
      </c>
      <c r="L31" s="139" t="s">
        <v>91</v>
      </c>
      <c r="M31" s="142" t="str">
        <f t="shared" si="8"/>
        <v>25BN</v>
      </c>
      <c r="N31" s="142" t="str">
        <f t="shared" si="8"/>
        <v>2832</v>
      </c>
      <c r="O31" s="137">
        <f t="shared" si="4"/>
        <v>21</v>
      </c>
      <c r="P31" s="143" t="str">
        <f t="shared" si="9"/>
        <v>LT Stock</v>
      </c>
    </row>
    <row r="32" spans="1:16" hidden="1" x14ac:dyDescent="0.2">
      <c r="A32" s="86" t="str">
        <f t="shared" si="0"/>
        <v>FE00-AA700-25BN-2832</v>
      </c>
      <c r="B32" s="141">
        <f t="shared" si="1"/>
        <v>0</v>
      </c>
      <c r="C32" s="141">
        <f t="shared" si="2"/>
        <v>21149</v>
      </c>
      <c r="D32" s="137"/>
      <c r="E32" s="137"/>
      <c r="F32" s="86" t="str">
        <f t="shared" si="3"/>
        <v>Recl YE ADIT-LT Stock</v>
      </c>
      <c r="G32" s="137"/>
      <c r="H32" s="137"/>
      <c r="I32" s="137"/>
      <c r="J32" s="138">
        <v>-21149</v>
      </c>
      <c r="K32" s="139" t="s">
        <v>241</v>
      </c>
      <c r="L32" s="139" t="s">
        <v>91</v>
      </c>
      <c r="M32" s="142" t="str">
        <f t="shared" si="8"/>
        <v>25BN</v>
      </c>
      <c r="N32" s="142" t="str">
        <f t="shared" si="8"/>
        <v>2832</v>
      </c>
      <c r="O32" s="137">
        <f t="shared" si="4"/>
        <v>21</v>
      </c>
      <c r="P32" s="143" t="str">
        <f t="shared" si="9"/>
        <v>LT Stock</v>
      </c>
    </row>
    <row r="33" spans="1:18" hidden="1" x14ac:dyDescent="0.2">
      <c r="A33" s="86" t="str">
        <f t="shared" si="0"/>
        <v>FF00-AA700-25BN-2832</v>
      </c>
      <c r="B33" s="141">
        <f t="shared" si="1"/>
        <v>0</v>
      </c>
      <c r="C33" s="141">
        <f t="shared" si="2"/>
        <v>5283</v>
      </c>
      <c r="D33" s="137"/>
      <c r="E33" s="137"/>
      <c r="F33" s="86" t="str">
        <f t="shared" si="3"/>
        <v>Recl YE ADIT-LT Stock</v>
      </c>
      <c r="G33" s="137"/>
      <c r="H33" s="137"/>
      <c r="I33" s="137"/>
      <c r="J33" s="138">
        <v>-5283</v>
      </c>
      <c r="K33" s="139" t="s">
        <v>399</v>
      </c>
      <c r="L33" s="139" t="s">
        <v>91</v>
      </c>
      <c r="M33" s="142" t="str">
        <f t="shared" si="8"/>
        <v>25BN</v>
      </c>
      <c r="N33" s="142" t="str">
        <f t="shared" si="8"/>
        <v>2832</v>
      </c>
      <c r="O33" s="137">
        <f t="shared" si="4"/>
        <v>21</v>
      </c>
      <c r="P33" s="143" t="str">
        <f t="shared" si="9"/>
        <v>LT Stock</v>
      </c>
    </row>
    <row r="34" spans="1:18" hidden="1" x14ac:dyDescent="0.2">
      <c r="A34" s="86" t="str">
        <f t="shared" si="0"/>
        <v>FI00-AA700-25BN-2832</v>
      </c>
      <c r="B34" s="141">
        <f t="shared" si="1"/>
        <v>0</v>
      </c>
      <c r="C34" s="141">
        <f t="shared" si="2"/>
        <v>718</v>
      </c>
      <c r="D34" s="137"/>
      <c r="E34" s="137"/>
      <c r="F34" s="86" t="str">
        <f t="shared" si="3"/>
        <v>Recl YE ADIT-LT Stock</v>
      </c>
      <c r="G34" s="137"/>
      <c r="H34" s="137"/>
      <c r="I34" s="137"/>
      <c r="J34" s="138">
        <v>-718</v>
      </c>
      <c r="K34" s="139" t="s">
        <v>267</v>
      </c>
      <c r="L34" s="139" t="s">
        <v>91</v>
      </c>
      <c r="M34" s="142" t="str">
        <f t="shared" si="8"/>
        <v>25BN</v>
      </c>
      <c r="N34" s="142" t="str">
        <f t="shared" si="8"/>
        <v>2832</v>
      </c>
      <c r="O34" s="137">
        <f t="shared" si="4"/>
        <v>21</v>
      </c>
      <c r="P34" s="143" t="str">
        <f t="shared" si="9"/>
        <v>LT Stock</v>
      </c>
    </row>
    <row r="35" spans="1:18" hidden="1" x14ac:dyDescent="0.2">
      <c r="A35" s="86" t="str">
        <f t="shared" si="0"/>
        <v>FM00-AA700-25BN-2832</v>
      </c>
      <c r="B35" s="141">
        <f t="shared" si="1"/>
        <v>0</v>
      </c>
      <c r="C35" s="141">
        <f t="shared" si="2"/>
        <v>370</v>
      </c>
      <c r="D35" s="137"/>
      <c r="E35" s="137"/>
      <c r="F35" s="86" t="str">
        <f t="shared" si="3"/>
        <v>Recl YE ADIT-LT Stock</v>
      </c>
      <c r="G35" s="137"/>
      <c r="H35" s="137"/>
      <c r="I35" s="137"/>
      <c r="J35" s="138">
        <v>-370</v>
      </c>
      <c r="K35" s="139" t="s">
        <v>400</v>
      </c>
      <c r="L35" s="139" t="s">
        <v>91</v>
      </c>
      <c r="M35" s="142" t="str">
        <f t="shared" si="8"/>
        <v>25BN</v>
      </c>
      <c r="N35" s="142" t="str">
        <f t="shared" si="8"/>
        <v>2832</v>
      </c>
      <c r="O35" s="137">
        <f t="shared" si="4"/>
        <v>21</v>
      </c>
      <c r="P35" s="143" t="str">
        <f t="shared" si="9"/>
        <v>LT Stock</v>
      </c>
    </row>
    <row r="36" spans="1:18" hidden="1" x14ac:dyDescent="0.2">
      <c r="A36" s="86" t="str">
        <f t="shared" si="0"/>
        <v>FN00-AA700-25BN-2832</v>
      </c>
      <c r="B36" s="141">
        <f t="shared" si="1"/>
        <v>0</v>
      </c>
      <c r="C36" s="141">
        <f t="shared" si="2"/>
        <v>44984</v>
      </c>
      <c r="D36" s="137"/>
      <c r="E36" s="137"/>
      <c r="F36" s="86" t="str">
        <f t="shared" si="3"/>
        <v>Recl YE ADIT-LT Stock</v>
      </c>
      <c r="G36" s="137"/>
      <c r="H36" s="137"/>
      <c r="I36" s="137"/>
      <c r="J36" s="138">
        <v>-44984</v>
      </c>
      <c r="K36" s="139" t="s">
        <v>259</v>
      </c>
      <c r="L36" s="139" t="s">
        <v>91</v>
      </c>
      <c r="M36" s="142" t="str">
        <f t="shared" si="8"/>
        <v>25BN</v>
      </c>
      <c r="N36" s="142" t="str">
        <f t="shared" si="8"/>
        <v>2832</v>
      </c>
      <c r="O36" s="137">
        <f t="shared" si="4"/>
        <v>21</v>
      </c>
      <c r="P36" s="143" t="str">
        <f t="shared" si="9"/>
        <v>LT Stock</v>
      </c>
    </row>
    <row r="37" spans="1:18" x14ac:dyDescent="0.2">
      <c r="A37" s="86" t="str">
        <f t="shared" si="0"/>
        <v>FT00-AA700-25BN-2832</v>
      </c>
      <c r="B37" s="141">
        <f t="shared" si="1"/>
        <v>0</v>
      </c>
      <c r="C37" s="141">
        <f t="shared" si="2"/>
        <v>601</v>
      </c>
      <c r="D37" s="137"/>
      <c r="E37" s="137"/>
      <c r="F37" s="86" t="str">
        <f t="shared" si="3"/>
        <v>Recl YE ADIT-LT Stock</v>
      </c>
      <c r="G37" s="137"/>
      <c r="H37" s="137"/>
      <c r="I37" s="137"/>
      <c r="J37" s="138">
        <v>-601</v>
      </c>
      <c r="K37" s="139" t="s">
        <v>261</v>
      </c>
      <c r="L37" s="139" t="s">
        <v>91</v>
      </c>
      <c r="M37" s="142" t="str">
        <f t="shared" si="8"/>
        <v>25BN</v>
      </c>
      <c r="N37" s="142" t="str">
        <f t="shared" si="8"/>
        <v>2832</v>
      </c>
      <c r="O37" s="137">
        <f t="shared" si="4"/>
        <v>21</v>
      </c>
      <c r="P37" s="143" t="str">
        <f t="shared" si="9"/>
        <v>LT Stock</v>
      </c>
    </row>
    <row r="38" spans="1:18" hidden="1" x14ac:dyDescent="0.2">
      <c r="A38" s="86" t="str">
        <f t="shared" si="0"/>
        <v>MD00-AA700-25BN-2832</v>
      </c>
      <c r="B38" s="141">
        <f t="shared" si="1"/>
        <v>0</v>
      </c>
      <c r="C38" s="141">
        <f t="shared" si="2"/>
        <v>8021</v>
      </c>
      <c r="D38" s="137"/>
      <c r="E38" s="137"/>
      <c r="F38" s="86" t="str">
        <f t="shared" si="3"/>
        <v>Recl YE ADIT-LT Stock</v>
      </c>
      <c r="G38" s="137"/>
      <c r="H38" s="137"/>
      <c r="I38" s="137"/>
      <c r="J38" s="138">
        <v>-8021</v>
      </c>
      <c r="K38" s="139" t="s">
        <v>30</v>
      </c>
      <c r="L38" s="139" t="s">
        <v>91</v>
      </c>
      <c r="M38" s="142" t="str">
        <f t="shared" si="8"/>
        <v>25BN</v>
      </c>
      <c r="N38" s="142" t="str">
        <f t="shared" si="8"/>
        <v>2832</v>
      </c>
      <c r="O38" s="137">
        <f t="shared" si="4"/>
        <v>21</v>
      </c>
      <c r="P38" s="143" t="str">
        <f t="shared" si="9"/>
        <v>LT Stock</v>
      </c>
    </row>
    <row r="39" spans="1:18" hidden="1" x14ac:dyDescent="0.2">
      <c r="A39" s="86" t="str">
        <f t="shared" si="0"/>
        <v>PC00-AA700-25BN-2832</v>
      </c>
      <c r="B39" s="141">
        <f t="shared" si="1"/>
        <v>0</v>
      </c>
      <c r="C39" s="141">
        <f t="shared" si="2"/>
        <v>10766</v>
      </c>
      <c r="D39" s="137"/>
      <c r="E39" s="137"/>
      <c r="F39" s="86" t="str">
        <f t="shared" si="3"/>
        <v>Recl YE ADIT-LT Stock</v>
      </c>
      <c r="G39" s="137"/>
      <c r="H39" s="137"/>
      <c r="I39" s="137"/>
      <c r="J39" s="138">
        <v>-10766</v>
      </c>
      <c r="K39" s="139" t="s">
        <v>401</v>
      </c>
      <c r="L39" s="139" t="s">
        <v>91</v>
      </c>
      <c r="M39" s="142" t="str">
        <f t="shared" si="8"/>
        <v>25BN</v>
      </c>
      <c r="N39" s="142" t="str">
        <f t="shared" si="8"/>
        <v>2832</v>
      </c>
      <c r="O39" s="137">
        <f t="shared" si="4"/>
        <v>21</v>
      </c>
      <c r="P39" s="143" t="str">
        <f t="shared" si="9"/>
        <v>LT Stock</v>
      </c>
    </row>
    <row r="40" spans="1:18" hidden="1" x14ac:dyDescent="0.2">
      <c r="A40" s="86" t="str">
        <f t="shared" si="0"/>
        <v>PS00-AA700-25BN-2832</v>
      </c>
      <c r="B40" s="141">
        <f t="shared" si="1"/>
        <v>0</v>
      </c>
      <c r="C40" s="141">
        <f t="shared" si="2"/>
        <v>7878</v>
      </c>
      <c r="D40" s="137"/>
      <c r="E40" s="137"/>
      <c r="F40" s="86" t="str">
        <f t="shared" si="3"/>
        <v>Recl YE ADIT-LT Stock</v>
      </c>
      <c r="G40" s="137"/>
      <c r="H40" s="137"/>
      <c r="I40" s="137"/>
      <c r="J40" s="138">
        <v>-7878</v>
      </c>
      <c r="K40" s="139" t="s">
        <v>402</v>
      </c>
      <c r="L40" s="139" t="s">
        <v>91</v>
      </c>
      <c r="M40" s="142" t="str">
        <f t="shared" si="8"/>
        <v>25BN</v>
      </c>
      <c r="N40" s="142" t="str">
        <f t="shared" si="8"/>
        <v>2832</v>
      </c>
      <c r="O40" s="137">
        <f t="shared" si="4"/>
        <v>21</v>
      </c>
      <c r="P40" s="143" t="str">
        <f t="shared" si="9"/>
        <v>LT Stock</v>
      </c>
    </row>
    <row r="41" spans="1:18" hidden="1" x14ac:dyDescent="0.2">
      <c r="A41" s="86" t="str">
        <f t="shared" si="0"/>
        <v>SC00-AA700-25BN-2832</v>
      </c>
      <c r="B41" s="141">
        <f t="shared" si="1"/>
        <v>0</v>
      </c>
      <c r="C41" s="141">
        <f t="shared" si="2"/>
        <v>2446</v>
      </c>
      <c r="D41" s="137"/>
      <c r="E41" s="137"/>
      <c r="F41" s="86" t="str">
        <f t="shared" si="3"/>
        <v>Recl YE ADIT-LT Stock</v>
      </c>
      <c r="G41" s="137"/>
      <c r="H41" s="137"/>
      <c r="I41" s="137"/>
      <c r="J41" s="138">
        <v>-2446</v>
      </c>
      <c r="K41" s="139" t="s">
        <v>403</v>
      </c>
      <c r="L41" s="139" t="s">
        <v>91</v>
      </c>
      <c r="M41" s="142" t="str">
        <f t="shared" si="8"/>
        <v>25BN</v>
      </c>
      <c r="N41" s="142" t="str">
        <f t="shared" si="8"/>
        <v>2832</v>
      </c>
      <c r="O41" s="137">
        <f t="shared" si="4"/>
        <v>21</v>
      </c>
      <c r="P41" s="143" t="str">
        <f t="shared" si="9"/>
        <v>LT Stock</v>
      </c>
    </row>
    <row r="42" spans="1:18" hidden="1" x14ac:dyDescent="0.2">
      <c r="A42" s="86" t="str">
        <f t="shared" si="0"/>
        <v>SG00-AA700-25BN-2832</v>
      </c>
      <c r="B42" s="141">
        <f t="shared" si="1"/>
        <v>0</v>
      </c>
      <c r="C42" s="141">
        <f t="shared" si="2"/>
        <v>11445</v>
      </c>
      <c r="D42" s="137"/>
      <c r="E42" s="137"/>
      <c r="F42" s="86" t="str">
        <f t="shared" si="3"/>
        <v>Recl YE ADIT-LT Stock</v>
      </c>
      <c r="G42" s="137"/>
      <c r="H42" s="137"/>
      <c r="I42" s="137"/>
      <c r="J42" s="138">
        <v>-11445</v>
      </c>
      <c r="K42" s="139" t="s">
        <v>404</v>
      </c>
      <c r="L42" s="139" t="s">
        <v>91</v>
      </c>
      <c r="M42" s="142" t="str">
        <f t="shared" si="8"/>
        <v>25BN</v>
      </c>
      <c r="N42" s="142" t="str">
        <f t="shared" si="8"/>
        <v>2832</v>
      </c>
      <c r="O42" s="137">
        <f t="shared" si="4"/>
        <v>21</v>
      </c>
      <c r="P42" s="143" t="str">
        <f t="shared" si="9"/>
        <v>LT Stock</v>
      </c>
    </row>
    <row r="43" spans="1:18" hidden="1" x14ac:dyDescent="0.2">
      <c r="A43" s="86" t="str">
        <f t="shared" si="0"/>
        <v>SK00-AA700-25BN-2832</v>
      </c>
      <c r="B43" s="141">
        <f t="shared" si="1"/>
        <v>0</v>
      </c>
      <c r="C43" s="141">
        <f t="shared" si="2"/>
        <v>376</v>
      </c>
      <c r="D43" s="137"/>
      <c r="E43" s="137"/>
      <c r="F43" s="86" t="str">
        <f t="shared" si="3"/>
        <v>Recl YE ADIT-LT Stock</v>
      </c>
      <c r="G43" s="137"/>
      <c r="H43" s="137"/>
      <c r="I43" s="137"/>
      <c r="J43" s="138">
        <v>-376</v>
      </c>
      <c r="K43" s="139" t="s">
        <v>405</v>
      </c>
      <c r="L43" s="139" t="s">
        <v>91</v>
      </c>
      <c r="M43" s="142" t="str">
        <f t="shared" si="8"/>
        <v>25BN</v>
      </c>
      <c r="N43" s="142" t="str">
        <f t="shared" si="8"/>
        <v>2832</v>
      </c>
      <c r="O43" s="137">
        <f t="shared" si="4"/>
        <v>21</v>
      </c>
      <c r="P43" s="143" t="str">
        <f t="shared" si="9"/>
        <v>LT Stock</v>
      </c>
    </row>
    <row r="44" spans="1:18" hidden="1" x14ac:dyDescent="0.2">
      <c r="A44" s="86" t="str">
        <f t="shared" si="0"/>
        <v>WC00-AA700-25BN-2832</v>
      </c>
      <c r="B44" s="141">
        <f t="shared" si="1"/>
        <v>0</v>
      </c>
      <c r="C44" s="141">
        <f t="shared" si="2"/>
        <v>9211</v>
      </c>
      <c r="D44" s="137"/>
      <c r="E44" s="137"/>
      <c r="F44" s="86" t="str">
        <f t="shared" si="3"/>
        <v>Recl YE ADIT-LT Stock</v>
      </c>
      <c r="G44" s="137"/>
      <c r="H44" s="137"/>
      <c r="I44" s="137"/>
      <c r="J44" s="138">
        <v>-9211</v>
      </c>
      <c r="K44" s="139" t="s">
        <v>18</v>
      </c>
      <c r="L44" s="139" t="s">
        <v>91</v>
      </c>
      <c r="M44" s="142" t="str">
        <f t="shared" ref="M44:N45" si="10">M43</f>
        <v>25BN</v>
      </c>
      <c r="N44" s="142" t="str">
        <f t="shared" si="10"/>
        <v>2832</v>
      </c>
      <c r="O44" s="137">
        <f t="shared" si="4"/>
        <v>21</v>
      </c>
      <c r="P44" s="143" t="str">
        <f t="shared" si="9"/>
        <v>LT Stock</v>
      </c>
    </row>
    <row r="45" spans="1:18" hidden="1" x14ac:dyDescent="0.2">
      <c r="A45" s="86" t="str">
        <f t="shared" si="0"/>
        <v>CU00-AA700-25BN-2832</v>
      </c>
      <c r="B45" s="141">
        <f t="shared" si="1"/>
        <v>274848</v>
      </c>
      <c r="C45" s="141">
        <f t="shared" si="2"/>
        <v>0</v>
      </c>
      <c r="D45" s="137"/>
      <c r="E45" s="137"/>
      <c r="F45" s="86" t="str">
        <f t="shared" si="3"/>
        <v>Recl YE ADIT-LT Stock</v>
      </c>
      <c r="G45" s="137"/>
      <c r="H45" s="137"/>
      <c r="I45" s="137"/>
      <c r="J45" s="144">
        <f>-SUM(J27:J44)</f>
        <v>274848</v>
      </c>
      <c r="K45" s="139" t="s">
        <v>24</v>
      </c>
      <c r="L45" s="139" t="s">
        <v>91</v>
      </c>
      <c r="M45" s="142" t="str">
        <f t="shared" si="10"/>
        <v>25BN</v>
      </c>
      <c r="N45" s="142" t="str">
        <f t="shared" si="10"/>
        <v>2832</v>
      </c>
      <c r="O45" s="137">
        <f t="shared" si="4"/>
        <v>21</v>
      </c>
      <c r="P45" s="143" t="str">
        <f t="shared" si="9"/>
        <v>LT Stock</v>
      </c>
    </row>
    <row r="46" spans="1:18" ht="6" customHeight="1" x14ac:dyDescent="0.2"/>
    <row r="47" spans="1:18" ht="13.5" thickBot="1" x14ac:dyDescent="0.25">
      <c r="A47" s="123" t="s">
        <v>406</v>
      </c>
      <c r="B47" s="145">
        <f>SUBTOTAL(9,B8:B46)</f>
        <v>1570</v>
      </c>
      <c r="C47" s="145">
        <f>SUBTOTAL(9,C8:C46)</f>
        <v>601</v>
      </c>
      <c r="J47" s="145">
        <f>SUBTOTAL(9,J8:J46)</f>
        <v>969</v>
      </c>
      <c r="K47" s="146"/>
      <c r="L47" s="111"/>
      <c r="M47" s="111"/>
      <c r="N47" s="112"/>
      <c r="O47" s="147">
        <f>SUBTOTAL(3,O8:O46)</f>
        <v>2</v>
      </c>
      <c r="P47" s="145"/>
      <c r="Q47" s="145"/>
      <c r="R47" s="145"/>
    </row>
    <row r="48" spans="1:18" ht="6" customHeight="1" x14ac:dyDescent="0.2"/>
    <row r="49" spans="1:19" x14ac:dyDescent="0.2">
      <c r="A49" s="108" t="s">
        <v>407</v>
      </c>
      <c r="C49" s="107">
        <f>B47-C47</f>
        <v>969</v>
      </c>
      <c r="J49" s="107">
        <v>969</v>
      </c>
    </row>
    <row r="55" spans="1:19" x14ac:dyDescent="0.2">
      <c r="A55" s="148" t="s">
        <v>408</v>
      </c>
      <c r="B55" s="141">
        <f>ROUND(IF($J55&gt;0,$J55,0),2)</f>
        <v>0</v>
      </c>
      <c r="C55" s="141">
        <f>ROUND(IF($J55&lt;0,-$J55,0),2)</f>
        <v>0</v>
      </c>
      <c r="D55" s="148"/>
      <c r="E55" s="149"/>
      <c r="F55" s="148"/>
      <c r="G55" s="150"/>
      <c r="H55" s="150"/>
      <c r="I55" s="150"/>
      <c r="J55" s="151">
        <v>0</v>
      </c>
      <c r="K55" s="152" t="str">
        <f>LEFT($A55,4)</f>
        <v>cccc</v>
      </c>
      <c r="L55" s="152" t="str">
        <f>MID($A55,6,5)</f>
        <v>ddddd</v>
      </c>
      <c r="M55" s="152" t="str">
        <f>MID($A55,12,4)</f>
        <v>nnnn</v>
      </c>
      <c r="N55" s="152" t="str">
        <f>RIGHT($A55,4)</f>
        <v>aaaa</v>
      </c>
      <c r="O55" s="150">
        <f>LEN(F55)</f>
        <v>0</v>
      </c>
      <c r="S55" s="108" t="s">
        <v>409</v>
      </c>
    </row>
  </sheetData>
  <autoFilter ref="A7:R45">
    <filterColumn colId="10">
      <filters>
        <filter val="FT00"/>
      </filters>
    </filterColumn>
  </autoFilter>
  <conditionalFormatting sqref="M3">
    <cfRule type="cellIs" dxfId="10" priority="8" stopIfTrue="1" operator="greaterThan">
      <formula>30</formula>
    </cfRule>
  </conditionalFormatting>
  <conditionalFormatting sqref="O55">
    <cfRule type="cellIs" dxfId="9" priority="7" stopIfTrue="1" operator="greaterThan">
      <formula>40</formula>
    </cfRule>
  </conditionalFormatting>
  <conditionalFormatting sqref="O8:O9">
    <cfRule type="cellIs" dxfId="8" priority="6" stopIfTrue="1" operator="greaterThan">
      <formula>40</formula>
    </cfRule>
  </conditionalFormatting>
  <conditionalFormatting sqref="O10 O19:O26">
    <cfRule type="cellIs" dxfId="7" priority="5" stopIfTrue="1" operator="greaterThan">
      <formula>40</formula>
    </cfRule>
  </conditionalFormatting>
  <conditionalFormatting sqref="O11:O18">
    <cfRule type="cellIs" dxfId="6" priority="4" stopIfTrue="1" operator="greaterThan">
      <formula>40</formula>
    </cfRule>
  </conditionalFormatting>
  <conditionalFormatting sqref="O27:O28">
    <cfRule type="cellIs" dxfId="5" priority="3" stopIfTrue="1" operator="greaterThan">
      <formula>40</formula>
    </cfRule>
  </conditionalFormatting>
  <conditionalFormatting sqref="O29 O38:O45">
    <cfRule type="cellIs" dxfId="4" priority="2" stopIfTrue="1" operator="greaterThan">
      <formula>40</formula>
    </cfRule>
  </conditionalFormatting>
  <conditionalFormatting sqref="O30:O37">
    <cfRule type="cellIs" dxfId="3" priority="1" stopIfTrue="1" operator="greaterThan">
      <formula>40</formula>
    </cfRule>
  </conditionalFormatting>
  <printOptions gridLines="1"/>
  <pageMargins left="0.75" right="0.75" top="1" bottom="1" header="0.5" footer="0.5"/>
  <pageSetup scale="75" fitToHeight="0" orientation="portrait" r:id="rId1"/>
  <headerFooter alignWithMargins="0">
    <oddFooter>&amp;L&amp;F &amp;A&amp;CPage &amp;P of 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91"/>
  <sheetViews>
    <sheetView workbookViewId="0">
      <selection activeCell="E9" sqref="E9"/>
    </sheetView>
  </sheetViews>
  <sheetFormatPr defaultRowHeight="12.75" x14ac:dyDescent="0.2"/>
  <cols>
    <col min="1" max="1" width="23" style="108" customWidth="1"/>
    <col min="2" max="2" width="14.5703125" style="107" customWidth="1"/>
    <col min="3" max="3" width="12.7109375" style="107" customWidth="1"/>
    <col min="4" max="4" width="13.5703125" style="108" customWidth="1"/>
    <col min="5" max="5" width="15.5703125" style="108" bestFit="1" customWidth="1"/>
    <col min="6" max="6" width="40.7109375" style="108" customWidth="1"/>
    <col min="7" max="9" width="1.7109375" style="108" customWidth="1"/>
    <col min="10" max="10" width="12.7109375" style="107" customWidth="1"/>
    <col min="11" max="14" width="7.7109375" style="113" customWidth="1"/>
    <col min="15" max="15" width="7.7109375" style="108" customWidth="1"/>
    <col min="16" max="18" width="10.7109375" style="108" customWidth="1"/>
    <col min="19" max="16384" width="9.140625" style="108"/>
  </cols>
  <sheetData>
    <row r="1" spans="1:18" ht="18" customHeight="1" x14ac:dyDescent="0.35">
      <c r="A1" s="105" t="s">
        <v>364</v>
      </c>
      <c r="B1" s="106" t="s">
        <v>24</v>
      </c>
      <c r="E1" s="105" t="s">
        <v>365</v>
      </c>
      <c r="F1" s="109"/>
      <c r="J1" s="110">
        <f>SUBTOTAL(9,B8:B82)</f>
        <v>1306</v>
      </c>
      <c r="K1" s="111" t="s">
        <v>366</v>
      </c>
      <c r="L1" s="112"/>
    </row>
    <row r="2" spans="1:18" ht="18" customHeight="1" x14ac:dyDescent="0.35">
      <c r="A2" s="105" t="s">
        <v>367</v>
      </c>
      <c r="B2" s="106"/>
      <c r="E2" s="105" t="s">
        <v>368</v>
      </c>
      <c r="F2" s="114"/>
      <c r="J2" s="115" t="s">
        <v>369</v>
      </c>
    </row>
    <row r="3" spans="1:18" ht="18" customHeight="1" x14ac:dyDescent="0.35">
      <c r="A3" s="105" t="s">
        <v>370</v>
      </c>
      <c r="B3" s="116" t="s">
        <v>410</v>
      </c>
      <c r="E3" s="105" t="s">
        <v>372</v>
      </c>
      <c r="F3" s="114"/>
      <c r="J3" s="117">
        <f>SUBTOTAL(9,J8:J82)</f>
        <v>975</v>
      </c>
      <c r="K3" s="118">
        <f>SUBTOTAL(3,K8:K82)</f>
        <v>4</v>
      </c>
      <c r="L3" s="119" t="s">
        <v>373</v>
      </c>
      <c r="M3" s="120">
        <f>LEN(B3)</f>
        <v>19</v>
      </c>
      <c r="N3" s="121" t="s">
        <v>374</v>
      </c>
      <c r="O3" s="122"/>
      <c r="P3" s="123"/>
      <c r="Q3" s="123"/>
    </row>
    <row r="4" spans="1:18" ht="18" customHeight="1" thickBot="1" x14ac:dyDescent="0.4">
      <c r="A4" s="105" t="s">
        <v>375</v>
      </c>
      <c r="B4" s="106" t="s">
        <v>39</v>
      </c>
      <c r="E4" s="105" t="s">
        <v>376</v>
      </c>
      <c r="F4" s="114"/>
    </row>
    <row r="5" spans="1:18" ht="18" customHeight="1" thickBot="1" x14ac:dyDescent="0.35">
      <c r="A5" s="105" t="s">
        <v>377</v>
      </c>
      <c r="B5" s="124">
        <v>43190</v>
      </c>
      <c r="F5" s="125" t="str">
        <f>IF(J5="Y","&gt; &gt; &gt; &gt;  REVERSING  &lt; &lt; &lt; &lt;    ","")</f>
        <v/>
      </c>
      <c r="J5" s="126" t="s">
        <v>378</v>
      </c>
      <c r="K5" s="127" t="s">
        <v>379</v>
      </c>
      <c r="L5" s="128"/>
      <c r="M5" s="129"/>
    </row>
    <row r="6" spans="1:18" ht="6" customHeight="1" x14ac:dyDescent="0.2"/>
    <row r="7" spans="1:18" ht="25.5" x14ac:dyDescent="0.2">
      <c r="A7" s="130" t="s">
        <v>380</v>
      </c>
      <c r="B7" s="131" t="s">
        <v>381</v>
      </c>
      <c r="C7" s="131" t="s">
        <v>382</v>
      </c>
      <c r="D7" s="130" t="s">
        <v>383</v>
      </c>
      <c r="E7" s="130" t="s">
        <v>384</v>
      </c>
      <c r="F7" s="130" t="s">
        <v>10</v>
      </c>
      <c r="G7" s="132" t="s">
        <v>385</v>
      </c>
      <c r="H7" s="132" t="s">
        <v>386</v>
      </c>
      <c r="I7" s="132" t="s">
        <v>387</v>
      </c>
      <c r="J7" s="131" t="s">
        <v>9</v>
      </c>
      <c r="K7" s="133" t="s">
        <v>388</v>
      </c>
      <c r="L7" s="133" t="s">
        <v>389</v>
      </c>
      <c r="M7" s="133" t="s">
        <v>390</v>
      </c>
      <c r="N7" s="133" t="s">
        <v>391</v>
      </c>
      <c r="O7" s="133" t="s">
        <v>392</v>
      </c>
      <c r="P7" s="133" t="s">
        <v>393</v>
      </c>
      <c r="Q7" s="133" t="s">
        <v>394</v>
      </c>
      <c r="R7" s="133" t="s">
        <v>395</v>
      </c>
    </row>
    <row r="8" spans="1:18" hidden="1" x14ac:dyDescent="0.2">
      <c r="A8" s="153" t="str">
        <f t="shared" ref="A8:A71" si="0">UPPER(K8&amp;"-"&amp;L8&amp;"-"&amp;M8&amp;"-"&amp;N8)</f>
        <v>AE01-AA700-8500-4101</v>
      </c>
      <c r="B8" s="154">
        <f t="shared" ref="B8:B71" si="1">ROUND(IF($J8&gt;0,$J8,0),2)</f>
        <v>12263</v>
      </c>
      <c r="C8" s="154">
        <f t="shared" ref="C8:C71" si="2">ROUND(IF($J8&lt;0,-$J8,0),2)</f>
        <v>0</v>
      </c>
      <c r="D8" s="155"/>
      <c r="E8" s="156"/>
      <c r="F8" s="153" t="s">
        <v>411</v>
      </c>
      <c r="G8" s="157"/>
      <c r="H8" s="157"/>
      <c r="I8" s="157"/>
      <c r="J8" s="158">
        <v>12263</v>
      </c>
      <c r="K8" s="159" t="s">
        <v>396</v>
      </c>
      <c r="L8" s="159" t="s">
        <v>91</v>
      </c>
      <c r="M8" s="159" t="s">
        <v>412</v>
      </c>
      <c r="N8" s="159" t="s">
        <v>413</v>
      </c>
      <c r="O8" s="157">
        <f t="shared" ref="O8:O71" si="3">LEN(F8)</f>
        <v>40</v>
      </c>
    </row>
    <row r="9" spans="1:18" hidden="1" x14ac:dyDescent="0.2">
      <c r="A9" s="160" t="str">
        <f t="shared" si="0"/>
        <v>EF00-AA700-8500-4101</v>
      </c>
      <c r="B9" s="161">
        <f t="shared" si="1"/>
        <v>12479</v>
      </c>
      <c r="C9" s="161">
        <f t="shared" si="2"/>
        <v>0</v>
      </c>
      <c r="D9" s="157"/>
      <c r="E9" s="162"/>
      <c r="F9" s="160" t="s">
        <v>411</v>
      </c>
      <c r="G9" s="157"/>
      <c r="H9" s="157"/>
      <c r="I9" s="157"/>
      <c r="J9" s="158">
        <v>12479</v>
      </c>
      <c r="K9" s="159" t="s">
        <v>398</v>
      </c>
      <c r="L9" s="159" t="s">
        <v>91</v>
      </c>
      <c r="M9" s="159" t="s">
        <v>412</v>
      </c>
      <c r="N9" s="159" t="s">
        <v>413</v>
      </c>
      <c r="O9" s="157">
        <f t="shared" si="3"/>
        <v>40</v>
      </c>
    </row>
    <row r="10" spans="1:18" hidden="1" x14ac:dyDescent="0.2">
      <c r="A10" s="160" t="str">
        <f t="shared" si="0"/>
        <v>FF00-AA700-8500-4101</v>
      </c>
      <c r="B10" s="161">
        <f t="shared" si="1"/>
        <v>7201</v>
      </c>
      <c r="C10" s="161">
        <f t="shared" si="2"/>
        <v>0</v>
      </c>
      <c r="D10" s="157"/>
      <c r="E10" s="162"/>
      <c r="F10" s="160" t="s">
        <v>411</v>
      </c>
      <c r="G10" s="157"/>
      <c r="H10" s="157"/>
      <c r="I10" s="157"/>
      <c r="J10" s="158">
        <v>7201</v>
      </c>
      <c r="K10" s="159" t="s">
        <v>399</v>
      </c>
      <c r="L10" s="159" t="s">
        <v>91</v>
      </c>
      <c r="M10" s="159" t="s">
        <v>412</v>
      </c>
      <c r="N10" s="159" t="s">
        <v>413</v>
      </c>
      <c r="O10" s="157">
        <f t="shared" si="3"/>
        <v>40</v>
      </c>
    </row>
    <row r="11" spans="1:18" hidden="1" x14ac:dyDescent="0.2">
      <c r="A11" s="160" t="str">
        <f t="shared" si="0"/>
        <v>FM00-AA700-8500-4101</v>
      </c>
      <c r="B11" s="161">
        <f t="shared" si="1"/>
        <v>504</v>
      </c>
      <c r="C11" s="161">
        <f t="shared" si="2"/>
        <v>0</v>
      </c>
      <c r="D11" s="157"/>
      <c r="E11" s="162"/>
      <c r="F11" s="160" t="s">
        <v>411</v>
      </c>
      <c r="G11" s="157"/>
      <c r="H11" s="157"/>
      <c r="I11" s="157"/>
      <c r="J11" s="158">
        <v>504</v>
      </c>
      <c r="K11" s="159" t="s">
        <v>400</v>
      </c>
      <c r="L11" s="159" t="s">
        <v>91</v>
      </c>
      <c r="M11" s="159" t="s">
        <v>412</v>
      </c>
      <c r="N11" s="159" t="s">
        <v>413</v>
      </c>
      <c r="O11" s="157">
        <f t="shared" si="3"/>
        <v>40</v>
      </c>
    </row>
    <row r="12" spans="1:18" hidden="1" x14ac:dyDescent="0.2">
      <c r="A12" s="160" t="str">
        <f t="shared" si="0"/>
        <v>PC00-AA700-8500-4101</v>
      </c>
      <c r="B12" s="161">
        <f t="shared" si="1"/>
        <v>14675</v>
      </c>
      <c r="C12" s="161">
        <f t="shared" si="2"/>
        <v>0</v>
      </c>
      <c r="D12" s="157"/>
      <c r="E12" s="162"/>
      <c r="F12" s="160" t="s">
        <v>411</v>
      </c>
      <c r="G12" s="157"/>
      <c r="H12" s="157"/>
      <c r="I12" s="157"/>
      <c r="J12" s="158">
        <v>14675</v>
      </c>
      <c r="K12" s="159" t="s">
        <v>401</v>
      </c>
      <c r="L12" s="159" t="s">
        <v>91</v>
      </c>
      <c r="M12" s="159" t="s">
        <v>412</v>
      </c>
      <c r="N12" s="159" t="s">
        <v>413</v>
      </c>
      <c r="O12" s="157">
        <f t="shared" si="3"/>
        <v>40</v>
      </c>
    </row>
    <row r="13" spans="1:18" hidden="1" x14ac:dyDescent="0.2">
      <c r="A13" s="160" t="str">
        <f t="shared" si="0"/>
        <v>PS00-AA700-8500-4101</v>
      </c>
      <c r="B13" s="161">
        <f t="shared" si="1"/>
        <v>10865</v>
      </c>
      <c r="C13" s="161">
        <f t="shared" si="2"/>
        <v>0</v>
      </c>
      <c r="D13" s="157"/>
      <c r="E13" s="162"/>
      <c r="F13" s="160" t="s">
        <v>411</v>
      </c>
      <c r="G13" s="157"/>
      <c r="H13" s="157"/>
      <c r="I13" s="157"/>
      <c r="J13" s="158">
        <v>10865</v>
      </c>
      <c r="K13" s="159" t="s">
        <v>402</v>
      </c>
      <c r="L13" s="159" t="s">
        <v>91</v>
      </c>
      <c r="M13" s="159" t="s">
        <v>412</v>
      </c>
      <c r="N13" s="159" t="s">
        <v>413</v>
      </c>
      <c r="O13" s="157">
        <f t="shared" si="3"/>
        <v>40</v>
      </c>
    </row>
    <row r="14" spans="1:18" hidden="1" x14ac:dyDescent="0.2">
      <c r="A14" s="160" t="str">
        <f t="shared" si="0"/>
        <v>SC00-AA700-8500-4101</v>
      </c>
      <c r="B14" s="161">
        <f t="shared" si="1"/>
        <v>2964</v>
      </c>
      <c r="C14" s="161">
        <f t="shared" si="2"/>
        <v>0</v>
      </c>
      <c r="D14" s="157"/>
      <c r="E14" s="162"/>
      <c r="F14" s="160" t="s">
        <v>411</v>
      </c>
      <c r="G14" s="157"/>
      <c r="H14" s="157"/>
      <c r="I14" s="157"/>
      <c r="J14" s="158">
        <v>2964</v>
      </c>
      <c r="K14" s="159" t="s">
        <v>403</v>
      </c>
      <c r="L14" s="159" t="s">
        <v>91</v>
      </c>
      <c r="M14" s="159" t="s">
        <v>412</v>
      </c>
      <c r="N14" s="159" t="s">
        <v>413</v>
      </c>
      <c r="O14" s="157">
        <f t="shared" si="3"/>
        <v>40</v>
      </c>
    </row>
    <row r="15" spans="1:18" hidden="1" x14ac:dyDescent="0.2">
      <c r="A15" s="160" t="str">
        <f t="shared" si="0"/>
        <v>SG00-AA700-8500-4101</v>
      </c>
      <c r="B15" s="161">
        <f t="shared" si="1"/>
        <v>13871</v>
      </c>
      <c r="C15" s="161">
        <f t="shared" si="2"/>
        <v>0</v>
      </c>
      <c r="D15" s="157"/>
      <c r="E15" s="162"/>
      <c r="F15" s="160" t="s">
        <v>411</v>
      </c>
      <c r="G15" s="157"/>
      <c r="H15" s="157"/>
      <c r="I15" s="157"/>
      <c r="J15" s="158">
        <v>13871</v>
      </c>
      <c r="K15" s="159" t="s">
        <v>404</v>
      </c>
      <c r="L15" s="159" t="s">
        <v>91</v>
      </c>
      <c r="M15" s="159" t="s">
        <v>412</v>
      </c>
      <c r="N15" s="159" t="s">
        <v>413</v>
      </c>
      <c r="O15" s="157">
        <f t="shared" si="3"/>
        <v>40</v>
      </c>
    </row>
    <row r="16" spans="1:18" hidden="1" x14ac:dyDescent="0.2">
      <c r="A16" s="160" t="str">
        <f t="shared" si="0"/>
        <v>SK00-AA700-8500-4101</v>
      </c>
      <c r="B16" s="161">
        <f t="shared" si="1"/>
        <v>444</v>
      </c>
      <c r="C16" s="161">
        <f t="shared" si="2"/>
        <v>0</v>
      </c>
      <c r="D16" s="157"/>
      <c r="E16" s="162"/>
      <c r="F16" s="160" t="s">
        <v>411</v>
      </c>
      <c r="G16" s="157"/>
      <c r="H16" s="157"/>
      <c r="I16" s="157"/>
      <c r="J16" s="158">
        <v>444</v>
      </c>
      <c r="K16" s="159" t="s">
        <v>405</v>
      </c>
      <c r="L16" s="159" t="s">
        <v>91</v>
      </c>
      <c r="M16" s="159" t="s">
        <v>412</v>
      </c>
      <c r="N16" s="159" t="s">
        <v>413</v>
      </c>
      <c r="O16" s="157">
        <f t="shared" si="3"/>
        <v>40</v>
      </c>
    </row>
    <row r="17" spans="1:15" ht="15" hidden="1" x14ac:dyDescent="0.25">
      <c r="A17" s="160" t="str">
        <f t="shared" si="0"/>
        <v>CU00-AA700-8500-4101</v>
      </c>
      <c r="B17" s="161">
        <f t="shared" si="1"/>
        <v>0</v>
      </c>
      <c r="C17" s="161">
        <f t="shared" si="2"/>
        <v>75266</v>
      </c>
      <c r="D17" s="157"/>
      <c r="E17" s="163" t="s">
        <v>414</v>
      </c>
      <c r="F17" s="160" t="s">
        <v>411</v>
      </c>
      <c r="G17" s="157"/>
      <c r="H17" s="157"/>
      <c r="I17" s="157"/>
      <c r="J17" s="158">
        <v>-75266</v>
      </c>
      <c r="K17" s="159" t="s">
        <v>24</v>
      </c>
      <c r="L17" s="159" t="s">
        <v>91</v>
      </c>
      <c r="M17" s="159" t="s">
        <v>412</v>
      </c>
      <c r="N17" s="159" t="s">
        <v>413</v>
      </c>
      <c r="O17" s="157">
        <f t="shared" si="3"/>
        <v>40</v>
      </c>
    </row>
    <row r="18" spans="1:15" hidden="1" x14ac:dyDescent="0.2">
      <c r="A18" s="164" t="str">
        <f t="shared" si="0"/>
        <v>CF00-00000-25TX-2832</v>
      </c>
      <c r="B18" s="165">
        <f t="shared" si="1"/>
        <v>0</v>
      </c>
      <c r="C18" s="165">
        <f t="shared" si="2"/>
        <v>8740</v>
      </c>
      <c r="D18" s="166"/>
      <c r="E18" s="167"/>
      <c r="F18" s="164" t="s">
        <v>145</v>
      </c>
      <c r="G18" s="157"/>
      <c r="H18" s="157"/>
      <c r="I18" s="157"/>
      <c r="J18" s="158">
        <v>-8740</v>
      </c>
      <c r="K18" s="159" t="s">
        <v>253</v>
      </c>
      <c r="L18" s="159" t="s">
        <v>19</v>
      </c>
      <c r="M18" s="159" t="s">
        <v>132</v>
      </c>
      <c r="N18" s="159" t="s">
        <v>20</v>
      </c>
      <c r="O18" s="157">
        <f t="shared" si="3"/>
        <v>35</v>
      </c>
    </row>
    <row r="19" spans="1:15" hidden="1" x14ac:dyDescent="0.2">
      <c r="A19" s="160" t="str">
        <f t="shared" si="0"/>
        <v>CF00-00000-280R-254N</v>
      </c>
      <c r="B19" s="161">
        <f t="shared" si="1"/>
        <v>34483</v>
      </c>
      <c r="C19" s="161">
        <f t="shared" si="2"/>
        <v>0</v>
      </c>
      <c r="D19" s="157"/>
      <c r="E19" s="168"/>
      <c r="F19" s="160" t="s">
        <v>145</v>
      </c>
      <c r="G19" s="157"/>
      <c r="H19" s="157"/>
      <c r="I19" s="157"/>
      <c r="J19" s="158">
        <v>34483</v>
      </c>
      <c r="K19" s="159" t="s">
        <v>253</v>
      </c>
      <c r="L19" s="159" t="s">
        <v>19</v>
      </c>
      <c r="M19" s="159" t="s">
        <v>227</v>
      </c>
      <c r="N19" s="159" t="s">
        <v>222</v>
      </c>
      <c r="O19" s="157">
        <f t="shared" si="3"/>
        <v>35</v>
      </c>
    </row>
    <row r="20" spans="1:15" ht="15" hidden="1" x14ac:dyDescent="0.25">
      <c r="A20" s="160" t="str">
        <f t="shared" si="0"/>
        <v>CU00-AA700-8500-4101</v>
      </c>
      <c r="B20" s="161">
        <f t="shared" si="1"/>
        <v>0</v>
      </c>
      <c r="C20" s="161">
        <f t="shared" si="2"/>
        <v>25743</v>
      </c>
      <c r="D20" s="157"/>
      <c r="E20" s="163" t="str">
        <f>K19</f>
        <v>CF00</v>
      </c>
      <c r="F20" s="160" t="s">
        <v>145</v>
      </c>
      <c r="G20" s="157"/>
      <c r="H20" s="157"/>
      <c r="I20" s="157"/>
      <c r="J20" s="158">
        <v>-25743</v>
      </c>
      <c r="K20" s="159" t="s">
        <v>24</v>
      </c>
      <c r="L20" s="159" t="s">
        <v>91</v>
      </c>
      <c r="M20" s="159" t="s">
        <v>412</v>
      </c>
      <c r="N20" s="159" t="s">
        <v>413</v>
      </c>
      <c r="O20" s="157">
        <f t="shared" si="3"/>
        <v>35</v>
      </c>
    </row>
    <row r="21" spans="1:15" hidden="1" x14ac:dyDescent="0.2">
      <c r="A21" s="160" t="str">
        <f t="shared" si="0"/>
        <v>DE00-00000-25TX-2832</v>
      </c>
      <c r="B21" s="161">
        <f t="shared" si="1"/>
        <v>0</v>
      </c>
      <c r="C21" s="161">
        <f t="shared" si="2"/>
        <v>14028</v>
      </c>
      <c r="D21" s="157"/>
      <c r="E21" s="168"/>
      <c r="F21" s="160" t="s">
        <v>145</v>
      </c>
      <c r="G21" s="157"/>
      <c r="H21" s="157"/>
      <c r="I21" s="157"/>
      <c r="J21" s="158">
        <v>-14028</v>
      </c>
      <c r="K21" s="159" t="s">
        <v>56</v>
      </c>
      <c r="L21" s="159" t="s">
        <v>19</v>
      </c>
      <c r="M21" s="159" t="s">
        <v>132</v>
      </c>
      <c r="N21" s="159" t="s">
        <v>20</v>
      </c>
      <c r="O21" s="157">
        <f t="shared" si="3"/>
        <v>35</v>
      </c>
    </row>
    <row r="22" spans="1:15" hidden="1" x14ac:dyDescent="0.2">
      <c r="A22" s="160" t="str">
        <f t="shared" si="0"/>
        <v>DE00-00000-280R-254N</v>
      </c>
      <c r="B22" s="161">
        <f t="shared" si="1"/>
        <v>50328</v>
      </c>
      <c r="C22" s="161">
        <f t="shared" si="2"/>
        <v>0</v>
      </c>
      <c r="D22" s="157"/>
      <c r="E22" s="168"/>
      <c r="F22" s="160" t="s">
        <v>145</v>
      </c>
      <c r="G22" s="157"/>
      <c r="H22" s="157"/>
      <c r="I22" s="157"/>
      <c r="J22" s="158">
        <v>50328</v>
      </c>
      <c r="K22" s="159" t="s">
        <v>56</v>
      </c>
      <c r="L22" s="159" t="s">
        <v>19</v>
      </c>
      <c r="M22" s="159" t="s">
        <v>227</v>
      </c>
      <c r="N22" s="159" t="s">
        <v>222</v>
      </c>
      <c r="O22" s="157">
        <f t="shared" si="3"/>
        <v>35</v>
      </c>
    </row>
    <row r="23" spans="1:15" ht="15" hidden="1" x14ac:dyDescent="0.25">
      <c r="A23" s="160" t="str">
        <f t="shared" si="0"/>
        <v>CU00-AA700-8500-4101</v>
      </c>
      <c r="B23" s="161">
        <f t="shared" si="1"/>
        <v>0</v>
      </c>
      <c r="C23" s="161">
        <f t="shared" si="2"/>
        <v>36300</v>
      </c>
      <c r="D23" s="157"/>
      <c r="E23" s="163" t="str">
        <f>K22</f>
        <v>DE00</v>
      </c>
      <c r="F23" s="160" t="s">
        <v>145</v>
      </c>
      <c r="G23" s="157"/>
      <c r="H23" s="157"/>
      <c r="I23" s="157"/>
      <c r="J23" s="158">
        <v>-36300</v>
      </c>
      <c r="K23" s="159" t="s">
        <v>24</v>
      </c>
      <c r="L23" s="159" t="s">
        <v>91</v>
      </c>
      <c r="M23" s="159" t="s">
        <v>412</v>
      </c>
      <c r="N23" s="159" t="s">
        <v>413</v>
      </c>
      <c r="O23" s="157">
        <f t="shared" si="3"/>
        <v>35</v>
      </c>
    </row>
    <row r="24" spans="1:15" hidden="1" x14ac:dyDescent="0.2">
      <c r="A24" s="160" t="str">
        <f t="shared" si="0"/>
        <v>ES00-00000-25TX-2832</v>
      </c>
      <c r="B24" s="161">
        <f t="shared" si="1"/>
        <v>0</v>
      </c>
      <c r="C24" s="161">
        <f t="shared" si="2"/>
        <v>39892</v>
      </c>
      <c r="D24" s="157"/>
      <c r="E24" s="168"/>
      <c r="F24" s="160" t="s">
        <v>145</v>
      </c>
      <c r="G24" s="157"/>
      <c r="H24" s="157"/>
      <c r="I24" s="157"/>
      <c r="J24" s="158">
        <v>-39892</v>
      </c>
      <c r="K24" s="159" t="s">
        <v>256</v>
      </c>
      <c r="L24" s="159" t="s">
        <v>19</v>
      </c>
      <c r="M24" s="159" t="s">
        <v>132</v>
      </c>
      <c r="N24" s="159" t="s">
        <v>20</v>
      </c>
      <c r="O24" s="157">
        <f t="shared" si="3"/>
        <v>35</v>
      </c>
    </row>
    <row r="25" spans="1:15" hidden="1" x14ac:dyDescent="0.2">
      <c r="A25" s="160" t="str">
        <f t="shared" si="0"/>
        <v>ES00-00000-280R-254N</v>
      </c>
      <c r="B25" s="161">
        <f t="shared" si="1"/>
        <v>137595</v>
      </c>
      <c r="C25" s="161">
        <f t="shared" si="2"/>
        <v>0</v>
      </c>
      <c r="D25" s="157"/>
      <c r="E25" s="168"/>
      <c r="F25" s="160" t="s">
        <v>145</v>
      </c>
      <c r="G25" s="157"/>
      <c r="H25" s="157"/>
      <c r="I25" s="157"/>
      <c r="J25" s="158">
        <v>137595</v>
      </c>
      <c r="K25" s="159" t="s">
        <v>256</v>
      </c>
      <c r="L25" s="159" t="s">
        <v>19</v>
      </c>
      <c r="M25" s="159" t="s">
        <v>227</v>
      </c>
      <c r="N25" s="159" t="s">
        <v>222</v>
      </c>
      <c r="O25" s="157">
        <f t="shared" si="3"/>
        <v>35</v>
      </c>
    </row>
    <row r="26" spans="1:15" ht="15" hidden="1" x14ac:dyDescent="0.25">
      <c r="A26" s="160" t="str">
        <f t="shared" si="0"/>
        <v>CU00-AA700-8500-4101</v>
      </c>
      <c r="B26" s="161">
        <f t="shared" si="1"/>
        <v>0</v>
      </c>
      <c r="C26" s="161">
        <f t="shared" si="2"/>
        <v>97703</v>
      </c>
      <c r="D26" s="157"/>
      <c r="E26" s="163" t="str">
        <f>K25</f>
        <v>ES00</v>
      </c>
      <c r="F26" s="160" t="s">
        <v>145</v>
      </c>
      <c r="G26" s="157"/>
      <c r="H26" s="157"/>
      <c r="I26" s="157"/>
      <c r="J26" s="158">
        <v>-97703</v>
      </c>
      <c r="K26" s="159" t="s">
        <v>24</v>
      </c>
      <c r="L26" s="159" t="s">
        <v>91</v>
      </c>
      <c r="M26" s="159" t="s">
        <v>412</v>
      </c>
      <c r="N26" s="159" t="s">
        <v>413</v>
      </c>
      <c r="O26" s="157">
        <f t="shared" si="3"/>
        <v>35</v>
      </c>
    </row>
    <row r="27" spans="1:15" hidden="1" x14ac:dyDescent="0.2">
      <c r="A27" s="160" t="str">
        <f t="shared" si="0"/>
        <v>FE00-00000-25TX-2832</v>
      </c>
      <c r="B27" s="161">
        <f t="shared" si="1"/>
        <v>0</v>
      </c>
      <c r="C27" s="161">
        <f t="shared" si="2"/>
        <v>9787</v>
      </c>
      <c r="D27" s="157"/>
      <c r="E27" s="168"/>
      <c r="F27" s="160" t="s">
        <v>145</v>
      </c>
      <c r="G27" s="157"/>
      <c r="H27" s="157"/>
      <c r="I27" s="157"/>
      <c r="J27" s="158">
        <v>-9787</v>
      </c>
      <c r="K27" s="159" t="s">
        <v>241</v>
      </c>
      <c r="L27" s="159" t="s">
        <v>19</v>
      </c>
      <c r="M27" s="159" t="s">
        <v>132</v>
      </c>
      <c r="N27" s="159" t="s">
        <v>20</v>
      </c>
      <c r="O27" s="157">
        <f t="shared" si="3"/>
        <v>35</v>
      </c>
    </row>
    <row r="28" spans="1:15" hidden="1" x14ac:dyDescent="0.2">
      <c r="A28" s="160" t="str">
        <f t="shared" si="0"/>
        <v>FE00-00000-280R-254N</v>
      </c>
      <c r="B28" s="161">
        <f t="shared" si="1"/>
        <v>38616</v>
      </c>
      <c r="C28" s="161">
        <f t="shared" si="2"/>
        <v>0</v>
      </c>
      <c r="D28" s="157"/>
      <c r="E28" s="168"/>
      <c r="F28" s="160" t="s">
        <v>145</v>
      </c>
      <c r="G28" s="157"/>
      <c r="H28" s="157"/>
      <c r="I28" s="157"/>
      <c r="J28" s="158">
        <v>38616</v>
      </c>
      <c r="K28" s="159" t="s">
        <v>241</v>
      </c>
      <c r="L28" s="159" t="s">
        <v>19</v>
      </c>
      <c r="M28" s="159" t="s">
        <v>227</v>
      </c>
      <c r="N28" s="159" t="s">
        <v>222</v>
      </c>
      <c r="O28" s="157">
        <f t="shared" si="3"/>
        <v>35</v>
      </c>
    </row>
    <row r="29" spans="1:15" ht="15" hidden="1" x14ac:dyDescent="0.25">
      <c r="A29" s="160" t="str">
        <f t="shared" si="0"/>
        <v>CU00-AA700-8500-4101</v>
      </c>
      <c r="B29" s="161">
        <f t="shared" si="1"/>
        <v>0</v>
      </c>
      <c r="C29" s="161">
        <f t="shared" si="2"/>
        <v>28829</v>
      </c>
      <c r="D29" s="157"/>
      <c r="E29" s="163" t="str">
        <f>K28</f>
        <v>FE00</v>
      </c>
      <c r="F29" s="160" t="s">
        <v>145</v>
      </c>
      <c r="G29" s="157"/>
      <c r="H29" s="157"/>
      <c r="I29" s="157"/>
      <c r="J29" s="158">
        <v>-28829</v>
      </c>
      <c r="K29" s="159" t="s">
        <v>24</v>
      </c>
      <c r="L29" s="159" t="s">
        <v>91</v>
      </c>
      <c r="M29" s="159" t="s">
        <v>412</v>
      </c>
      <c r="N29" s="159" t="s">
        <v>413</v>
      </c>
      <c r="O29" s="157">
        <f t="shared" si="3"/>
        <v>35</v>
      </c>
    </row>
    <row r="30" spans="1:15" hidden="1" x14ac:dyDescent="0.2">
      <c r="A30" s="160" t="str">
        <f t="shared" si="0"/>
        <v>FI00-00000-25TX-2832</v>
      </c>
      <c r="B30" s="161">
        <f t="shared" si="1"/>
        <v>0</v>
      </c>
      <c r="C30" s="161">
        <f t="shared" si="2"/>
        <v>332</v>
      </c>
      <c r="D30" s="157"/>
      <c r="E30" s="168"/>
      <c r="F30" s="160" t="s">
        <v>145</v>
      </c>
      <c r="G30" s="157"/>
      <c r="H30" s="157"/>
      <c r="I30" s="157"/>
      <c r="J30" s="158">
        <v>-332</v>
      </c>
      <c r="K30" s="159" t="s">
        <v>267</v>
      </c>
      <c r="L30" s="159" t="s">
        <v>19</v>
      </c>
      <c r="M30" s="159" t="s">
        <v>132</v>
      </c>
      <c r="N30" s="159" t="s">
        <v>20</v>
      </c>
      <c r="O30" s="157">
        <f t="shared" si="3"/>
        <v>35</v>
      </c>
    </row>
    <row r="31" spans="1:15" hidden="1" x14ac:dyDescent="0.2">
      <c r="A31" s="160" t="str">
        <f t="shared" si="0"/>
        <v>FI00-00000-280R-254N</v>
      </c>
      <c r="B31" s="161">
        <f t="shared" si="1"/>
        <v>1311</v>
      </c>
      <c r="C31" s="161">
        <f t="shared" si="2"/>
        <v>0</v>
      </c>
      <c r="D31" s="157"/>
      <c r="E31" s="168"/>
      <c r="F31" s="160" t="s">
        <v>145</v>
      </c>
      <c r="G31" s="157"/>
      <c r="H31" s="157"/>
      <c r="I31" s="157"/>
      <c r="J31" s="158">
        <v>1311</v>
      </c>
      <c r="K31" s="159" t="s">
        <v>267</v>
      </c>
      <c r="L31" s="159" t="s">
        <v>19</v>
      </c>
      <c r="M31" s="159" t="s">
        <v>227</v>
      </c>
      <c r="N31" s="159" t="s">
        <v>222</v>
      </c>
      <c r="O31" s="157">
        <f t="shared" si="3"/>
        <v>35</v>
      </c>
    </row>
    <row r="32" spans="1:15" ht="15" hidden="1" x14ac:dyDescent="0.25">
      <c r="A32" s="160" t="str">
        <f t="shared" si="0"/>
        <v>CU00-AA700-8500-4101</v>
      </c>
      <c r="B32" s="161">
        <f t="shared" si="1"/>
        <v>0</v>
      </c>
      <c r="C32" s="161">
        <f t="shared" si="2"/>
        <v>979</v>
      </c>
      <c r="D32" s="157"/>
      <c r="E32" s="163" t="str">
        <f>K31</f>
        <v>FI00</v>
      </c>
      <c r="F32" s="160" t="s">
        <v>145</v>
      </c>
      <c r="G32" s="157"/>
      <c r="H32" s="157"/>
      <c r="I32" s="157"/>
      <c r="J32" s="158">
        <v>-979</v>
      </c>
      <c r="K32" s="159" t="s">
        <v>24</v>
      </c>
      <c r="L32" s="159" t="s">
        <v>91</v>
      </c>
      <c r="M32" s="159" t="s">
        <v>412</v>
      </c>
      <c r="N32" s="159" t="s">
        <v>413</v>
      </c>
      <c r="O32" s="157">
        <f t="shared" si="3"/>
        <v>35</v>
      </c>
    </row>
    <row r="33" spans="1:15" hidden="1" x14ac:dyDescent="0.2">
      <c r="A33" s="160" t="str">
        <f t="shared" si="0"/>
        <v>FN00-00000-25TX-2832</v>
      </c>
      <c r="B33" s="161">
        <f t="shared" si="1"/>
        <v>0</v>
      </c>
      <c r="C33" s="161">
        <f t="shared" si="2"/>
        <v>20817</v>
      </c>
      <c r="D33" s="157"/>
      <c r="E33" s="168"/>
      <c r="F33" s="160" t="s">
        <v>145</v>
      </c>
      <c r="G33" s="157"/>
      <c r="H33" s="157"/>
      <c r="I33" s="157"/>
      <c r="J33" s="158">
        <v>-20817</v>
      </c>
      <c r="K33" s="159" t="s">
        <v>259</v>
      </c>
      <c r="L33" s="159" t="s">
        <v>19</v>
      </c>
      <c r="M33" s="159" t="s">
        <v>132</v>
      </c>
      <c r="N33" s="159" t="s">
        <v>20</v>
      </c>
      <c r="O33" s="157">
        <f t="shared" si="3"/>
        <v>35</v>
      </c>
    </row>
    <row r="34" spans="1:15" hidden="1" x14ac:dyDescent="0.2">
      <c r="A34" s="160" t="str">
        <f t="shared" si="0"/>
        <v>FN00-00000-280R-254N</v>
      </c>
      <c r="B34" s="161">
        <f t="shared" si="1"/>
        <v>82135</v>
      </c>
      <c r="C34" s="161">
        <f t="shared" si="2"/>
        <v>0</v>
      </c>
      <c r="D34" s="157"/>
      <c r="E34" s="168"/>
      <c r="F34" s="160" t="s">
        <v>145</v>
      </c>
      <c r="G34" s="157"/>
      <c r="H34" s="157"/>
      <c r="I34" s="157"/>
      <c r="J34" s="158">
        <v>82135</v>
      </c>
      <c r="K34" s="159" t="s">
        <v>259</v>
      </c>
      <c r="L34" s="159" t="s">
        <v>19</v>
      </c>
      <c r="M34" s="159" t="s">
        <v>227</v>
      </c>
      <c r="N34" s="159" t="s">
        <v>222</v>
      </c>
      <c r="O34" s="157">
        <f t="shared" si="3"/>
        <v>35</v>
      </c>
    </row>
    <row r="35" spans="1:15" ht="15" hidden="1" x14ac:dyDescent="0.25">
      <c r="A35" s="160" t="str">
        <f t="shared" si="0"/>
        <v>CU00-AA700-8500-4101</v>
      </c>
      <c r="B35" s="161">
        <f t="shared" si="1"/>
        <v>0</v>
      </c>
      <c r="C35" s="161">
        <f t="shared" si="2"/>
        <v>61318</v>
      </c>
      <c r="D35" s="157"/>
      <c r="E35" s="163" t="str">
        <f>K34</f>
        <v>FN00</v>
      </c>
      <c r="F35" s="160" t="s">
        <v>145</v>
      </c>
      <c r="G35" s="157"/>
      <c r="H35" s="157"/>
      <c r="I35" s="157"/>
      <c r="J35" s="158">
        <v>-61318</v>
      </c>
      <c r="K35" s="159" t="s">
        <v>24</v>
      </c>
      <c r="L35" s="159" t="s">
        <v>91</v>
      </c>
      <c r="M35" s="159" t="s">
        <v>412</v>
      </c>
      <c r="N35" s="159" t="s">
        <v>413</v>
      </c>
      <c r="O35" s="157">
        <f t="shared" si="3"/>
        <v>35</v>
      </c>
    </row>
    <row r="36" spans="1:15" x14ac:dyDescent="0.2">
      <c r="A36" s="160" t="str">
        <f t="shared" si="0"/>
        <v>FT00-00000-25TX-2832</v>
      </c>
      <c r="B36" s="161">
        <f t="shared" si="1"/>
        <v>0</v>
      </c>
      <c r="C36" s="161">
        <f t="shared" si="2"/>
        <v>278</v>
      </c>
      <c r="D36" s="157"/>
      <c r="E36" s="168"/>
      <c r="F36" s="160" t="s">
        <v>145</v>
      </c>
      <c r="G36" s="157"/>
      <c r="H36" s="157"/>
      <c r="I36" s="157"/>
      <c r="J36" s="158">
        <v>-278</v>
      </c>
      <c r="K36" s="159" t="s">
        <v>261</v>
      </c>
      <c r="L36" s="159" t="s">
        <v>19</v>
      </c>
      <c r="M36" s="159" t="s">
        <v>132</v>
      </c>
      <c r="N36" s="159" t="s">
        <v>20</v>
      </c>
      <c r="O36" s="157">
        <f t="shared" si="3"/>
        <v>35</v>
      </c>
    </row>
    <row r="37" spans="1:15" x14ac:dyDescent="0.2">
      <c r="A37" s="160" t="str">
        <f t="shared" si="0"/>
        <v>FT00-00000-280R-254N</v>
      </c>
      <c r="B37" s="161">
        <f t="shared" si="1"/>
        <v>1097</v>
      </c>
      <c r="C37" s="161">
        <f t="shared" si="2"/>
        <v>0</v>
      </c>
      <c r="D37" s="157"/>
      <c r="E37" s="168"/>
      <c r="F37" s="160" t="s">
        <v>145</v>
      </c>
      <c r="G37" s="157"/>
      <c r="H37" s="157"/>
      <c r="I37" s="157"/>
      <c r="J37" s="158">
        <v>1097</v>
      </c>
      <c r="K37" s="159" t="s">
        <v>261</v>
      </c>
      <c r="L37" s="159" t="s">
        <v>19</v>
      </c>
      <c r="M37" s="159" t="s">
        <v>227</v>
      </c>
      <c r="N37" s="159" t="s">
        <v>222</v>
      </c>
      <c r="O37" s="157">
        <f t="shared" si="3"/>
        <v>35</v>
      </c>
    </row>
    <row r="38" spans="1:15" ht="15" hidden="1" x14ac:dyDescent="0.25">
      <c r="A38" s="160" t="str">
        <f t="shared" si="0"/>
        <v>CU00-AA700-8500-4101</v>
      </c>
      <c r="B38" s="161">
        <f t="shared" si="1"/>
        <v>0</v>
      </c>
      <c r="C38" s="161">
        <f t="shared" si="2"/>
        <v>819</v>
      </c>
      <c r="D38" s="157"/>
      <c r="E38" s="163" t="str">
        <f>K37</f>
        <v>FT00</v>
      </c>
      <c r="F38" s="160" t="s">
        <v>145</v>
      </c>
      <c r="G38" s="157"/>
      <c r="H38" s="157"/>
      <c r="I38" s="157"/>
      <c r="J38" s="158">
        <v>-819</v>
      </c>
      <c r="K38" s="159" t="s">
        <v>24</v>
      </c>
      <c r="L38" s="159" t="s">
        <v>91</v>
      </c>
      <c r="M38" s="159" t="s">
        <v>412</v>
      </c>
      <c r="N38" s="159" t="s">
        <v>413</v>
      </c>
      <c r="O38" s="157">
        <f t="shared" si="3"/>
        <v>35</v>
      </c>
    </row>
    <row r="39" spans="1:15" hidden="1" x14ac:dyDescent="0.2">
      <c r="A39" s="160" t="str">
        <f t="shared" si="0"/>
        <v>MD00-00000-25TX-2832</v>
      </c>
      <c r="B39" s="161">
        <f t="shared" si="1"/>
        <v>0</v>
      </c>
      <c r="C39" s="161">
        <f t="shared" si="2"/>
        <v>3712</v>
      </c>
      <c r="D39" s="157"/>
      <c r="E39" s="168"/>
      <c r="F39" s="160" t="s">
        <v>145</v>
      </c>
      <c r="G39" s="157"/>
      <c r="H39" s="157"/>
      <c r="I39" s="157"/>
      <c r="J39" s="158">
        <v>-3712</v>
      </c>
      <c r="K39" s="159" t="s">
        <v>30</v>
      </c>
      <c r="L39" s="159" t="s">
        <v>19</v>
      </c>
      <c r="M39" s="159" t="s">
        <v>132</v>
      </c>
      <c r="N39" s="159" t="s">
        <v>20</v>
      </c>
      <c r="O39" s="157">
        <f t="shared" si="3"/>
        <v>35</v>
      </c>
    </row>
    <row r="40" spans="1:15" hidden="1" x14ac:dyDescent="0.2">
      <c r="A40" s="160" t="str">
        <f t="shared" si="0"/>
        <v>MD00-00000-280R-254N</v>
      </c>
      <c r="B40" s="161">
        <f t="shared" si="1"/>
        <v>13490</v>
      </c>
      <c r="C40" s="161">
        <f t="shared" si="2"/>
        <v>0</v>
      </c>
      <c r="D40" s="157"/>
      <c r="E40" s="168"/>
      <c r="F40" s="160" t="s">
        <v>145</v>
      </c>
      <c r="G40" s="157"/>
      <c r="H40" s="157"/>
      <c r="I40" s="157"/>
      <c r="J40" s="158">
        <v>13490</v>
      </c>
      <c r="K40" s="159" t="s">
        <v>30</v>
      </c>
      <c r="L40" s="159" t="s">
        <v>19</v>
      </c>
      <c r="M40" s="159" t="s">
        <v>227</v>
      </c>
      <c r="N40" s="159" t="s">
        <v>222</v>
      </c>
      <c r="O40" s="157">
        <f t="shared" si="3"/>
        <v>35</v>
      </c>
    </row>
    <row r="41" spans="1:15" ht="15" hidden="1" x14ac:dyDescent="0.25">
      <c r="A41" s="160" t="str">
        <f t="shared" si="0"/>
        <v>CU00-AA700-8500-4101</v>
      </c>
      <c r="B41" s="161">
        <f t="shared" si="1"/>
        <v>0</v>
      </c>
      <c r="C41" s="161">
        <f t="shared" si="2"/>
        <v>9778</v>
      </c>
      <c r="D41" s="157"/>
      <c r="E41" s="163" t="str">
        <f>K40</f>
        <v>MD00</v>
      </c>
      <c r="F41" s="160" t="s">
        <v>145</v>
      </c>
      <c r="G41" s="157"/>
      <c r="H41" s="157"/>
      <c r="I41" s="157"/>
      <c r="J41" s="158">
        <v>-9778</v>
      </c>
      <c r="K41" s="159" t="s">
        <v>24</v>
      </c>
      <c r="L41" s="159" t="s">
        <v>91</v>
      </c>
      <c r="M41" s="159" t="s">
        <v>412</v>
      </c>
      <c r="N41" s="159" t="s">
        <v>413</v>
      </c>
      <c r="O41" s="157">
        <f t="shared" si="3"/>
        <v>35</v>
      </c>
    </row>
    <row r="42" spans="1:15" hidden="1" x14ac:dyDescent="0.2">
      <c r="A42" s="160" t="str">
        <f t="shared" si="0"/>
        <v>WC00-00000-25TX-2832</v>
      </c>
      <c r="B42" s="161">
        <f t="shared" si="1"/>
        <v>0</v>
      </c>
      <c r="C42" s="161">
        <f t="shared" si="2"/>
        <v>4262</v>
      </c>
      <c r="D42" s="157"/>
      <c r="E42" s="168"/>
      <c r="F42" s="160" t="s">
        <v>145</v>
      </c>
      <c r="G42" s="157"/>
      <c r="H42" s="157"/>
      <c r="I42" s="157"/>
      <c r="J42" s="158">
        <v>-4262</v>
      </c>
      <c r="K42" s="159" t="s">
        <v>18</v>
      </c>
      <c r="L42" s="159" t="s">
        <v>19</v>
      </c>
      <c r="M42" s="159" t="s">
        <v>132</v>
      </c>
      <c r="N42" s="159" t="s">
        <v>20</v>
      </c>
      <c r="O42" s="157">
        <f t="shared" si="3"/>
        <v>35</v>
      </c>
    </row>
    <row r="43" spans="1:15" hidden="1" x14ac:dyDescent="0.2">
      <c r="A43" s="160" t="str">
        <f t="shared" si="0"/>
        <v>WC00-00000-280R-254N</v>
      </c>
      <c r="B43" s="161">
        <f t="shared" si="1"/>
        <v>15489</v>
      </c>
      <c r="C43" s="161">
        <f t="shared" si="2"/>
        <v>0</v>
      </c>
      <c r="D43" s="157"/>
      <c r="E43" s="168"/>
      <c r="F43" s="160" t="s">
        <v>145</v>
      </c>
      <c r="G43" s="157"/>
      <c r="H43" s="157"/>
      <c r="I43" s="157"/>
      <c r="J43" s="158">
        <v>15489</v>
      </c>
      <c r="K43" s="159" t="s">
        <v>18</v>
      </c>
      <c r="L43" s="159" t="s">
        <v>19</v>
      </c>
      <c r="M43" s="159" t="s">
        <v>227</v>
      </c>
      <c r="N43" s="159" t="s">
        <v>222</v>
      </c>
      <c r="O43" s="157">
        <f t="shared" si="3"/>
        <v>35</v>
      </c>
    </row>
    <row r="44" spans="1:15" ht="15" hidden="1" x14ac:dyDescent="0.25">
      <c r="A44" s="160" t="str">
        <f t="shared" si="0"/>
        <v>CU00-AA700-8500-4101</v>
      </c>
      <c r="B44" s="161">
        <f t="shared" si="1"/>
        <v>0</v>
      </c>
      <c r="C44" s="161">
        <f t="shared" si="2"/>
        <v>11227</v>
      </c>
      <c r="D44" s="157"/>
      <c r="E44" s="163" t="str">
        <f>K43</f>
        <v>WC00</v>
      </c>
      <c r="F44" s="160" t="s">
        <v>145</v>
      </c>
      <c r="G44" s="157"/>
      <c r="H44" s="157"/>
      <c r="I44" s="157"/>
      <c r="J44" s="158">
        <v>-11227</v>
      </c>
      <c r="K44" s="159" t="s">
        <v>24</v>
      </c>
      <c r="L44" s="159" t="s">
        <v>91</v>
      </c>
      <c r="M44" s="159" t="s">
        <v>412</v>
      </c>
      <c r="N44" s="159" t="s">
        <v>413</v>
      </c>
      <c r="O44" s="157">
        <f t="shared" si="3"/>
        <v>35</v>
      </c>
    </row>
    <row r="45" spans="1:15" hidden="1" x14ac:dyDescent="0.2">
      <c r="A45" s="153" t="str">
        <f t="shared" si="0"/>
        <v>AE01-AA700-8500-4101</v>
      </c>
      <c r="B45" s="154">
        <f t="shared" si="1"/>
        <v>6474</v>
      </c>
      <c r="C45" s="154">
        <f t="shared" si="2"/>
        <v>0</v>
      </c>
      <c r="D45" s="155"/>
      <c r="E45" s="156"/>
      <c r="F45" s="160" t="s">
        <v>411</v>
      </c>
      <c r="G45" s="157"/>
      <c r="H45" s="157"/>
      <c r="I45" s="157"/>
      <c r="J45" s="158">
        <v>6474</v>
      </c>
      <c r="K45" s="159" t="s">
        <v>396</v>
      </c>
      <c r="L45" s="159" t="s">
        <v>91</v>
      </c>
      <c r="M45" s="159" t="s">
        <v>412</v>
      </c>
      <c r="N45" s="159" t="s">
        <v>413</v>
      </c>
      <c r="O45" s="157">
        <f t="shared" si="3"/>
        <v>40</v>
      </c>
    </row>
    <row r="46" spans="1:15" hidden="1" x14ac:dyDescent="0.2">
      <c r="A46" s="160" t="str">
        <f t="shared" si="0"/>
        <v>EF00-AA700-8500-4101</v>
      </c>
      <c r="B46" s="161">
        <f t="shared" si="1"/>
        <v>3033</v>
      </c>
      <c r="C46" s="161">
        <f t="shared" si="2"/>
        <v>0</v>
      </c>
      <c r="D46" s="157"/>
      <c r="E46" s="162"/>
      <c r="F46" s="160" t="s">
        <v>411</v>
      </c>
      <c r="G46" s="157"/>
      <c r="H46" s="157"/>
      <c r="I46" s="157"/>
      <c r="J46" s="158">
        <v>3033</v>
      </c>
      <c r="K46" s="159" t="s">
        <v>398</v>
      </c>
      <c r="L46" s="159" t="s">
        <v>91</v>
      </c>
      <c r="M46" s="159" t="s">
        <v>412</v>
      </c>
      <c r="N46" s="159" t="s">
        <v>413</v>
      </c>
      <c r="O46" s="157">
        <f t="shared" si="3"/>
        <v>40</v>
      </c>
    </row>
    <row r="47" spans="1:15" hidden="1" x14ac:dyDescent="0.2">
      <c r="A47" s="160" t="str">
        <f t="shared" si="0"/>
        <v>FF00-AA700-8500-4101</v>
      </c>
      <c r="B47" s="161">
        <f t="shared" si="1"/>
        <v>3005</v>
      </c>
      <c r="C47" s="161">
        <f t="shared" si="2"/>
        <v>0</v>
      </c>
      <c r="D47" s="157"/>
      <c r="E47" s="162"/>
      <c r="F47" s="160" t="s">
        <v>411</v>
      </c>
      <c r="G47" s="157"/>
      <c r="H47" s="157"/>
      <c r="I47" s="157"/>
      <c r="J47" s="158">
        <v>3005</v>
      </c>
      <c r="K47" s="159" t="s">
        <v>399</v>
      </c>
      <c r="L47" s="159" t="s">
        <v>91</v>
      </c>
      <c r="M47" s="159" t="s">
        <v>412</v>
      </c>
      <c r="N47" s="159" t="s">
        <v>413</v>
      </c>
      <c r="O47" s="157">
        <f t="shared" si="3"/>
        <v>40</v>
      </c>
    </row>
    <row r="48" spans="1:15" hidden="1" x14ac:dyDescent="0.2">
      <c r="A48" s="160" t="str">
        <f t="shared" si="0"/>
        <v>FM00-AA700-8500-4101</v>
      </c>
      <c r="B48" s="161">
        <f t="shared" si="1"/>
        <v>209</v>
      </c>
      <c r="C48" s="161">
        <f t="shared" si="2"/>
        <v>0</v>
      </c>
      <c r="D48" s="157"/>
      <c r="E48" s="162"/>
      <c r="F48" s="160" t="s">
        <v>411</v>
      </c>
      <c r="G48" s="157"/>
      <c r="H48" s="157"/>
      <c r="I48" s="157"/>
      <c r="J48" s="158">
        <v>209</v>
      </c>
      <c r="K48" s="159" t="s">
        <v>400</v>
      </c>
      <c r="L48" s="159" t="s">
        <v>91</v>
      </c>
      <c r="M48" s="159" t="s">
        <v>412</v>
      </c>
      <c r="N48" s="159" t="s">
        <v>413</v>
      </c>
      <c r="O48" s="157">
        <f t="shared" si="3"/>
        <v>40</v>
      </c>
    </row>
    <row r="49" spans="1:15" hidden="1" x14ac:dyDescent="0.2">
      <c r="A49" s="160" t="str">
        <f t="shared" si="0"/>
        <v>PC00-AA700-8500-4101</v>
      </c>
      <c r="B49" s="161">
        <f t="shared" si="1"/>
        <v>5989</v>
      </c>
      <c r="C49" s="161">
        <f t="shared" si="2"/>
        <v>0</v>
      </c>
      <c r="D49" s="157"/>
      <c r="E49" s="162"/>
      <c r="F49" s="160" t="s">
        <v>411</v>
      </c>
      <c r="G49" s="157"/>
      <c r="H49" s="157"/>
      <c r="I49" s="157"/>
      <c r="J49" s="158">
        <v>5989</v>
      </c>
      <c r="K49" s="159" t="s">
        <v>401</v>
      </c>
      <c r="L49" s="159" t="s">
        <v>91</v>
      </c>
      <c r="M49" s="159" t="s">
        <v>412</v>
      </c>
      <c r="N49" s="159" t="s">
        <v>413</v>
      </c>
      <c r="O49" s="157">
        <f t="shared" si="3"/>
        <v>40</v>
      </c>
    </row>
    <row r="50" spans="1:15" hidden="1" x14ac:dyDescent="0.2">
      <c r="A50" s="160" t="str">
        <f t="shared" si="0"/>
        <v>PS00-AA700-8500-4101</v>
      </c>
      <c r="B50" s="161">
        <f t="shared" si="1"/>
        <v>12309</v>
      </c>
      <c r="C50" s="161">
        <f t="shared" si="2"/>
        <v>0</v>
      </c>
      <c r="D50" s="157"/>
      <c r="E50" s="162"/>
      <c r="F50" s="160" t="s">
        <v>411</v>
      </c>
      <c r="G50" s="157"/>
      <c r="H50" s="157"/>
      <c r="I50" s="157"/>
      <c r="J50" s="158">
        <v>12309</v>
      </c>
      <c r="K50" s="159" t="s">
        <v>402</v>
      </c>
      <c r="L50" s="159" t="s">
        <v>91</v>
      </c>
      <c r="M50" s="159" t="s">
        <v>412</v>
      </c>
      <c r="N50" s="159" t="s">
        <v>413</v>
      </c>
      <c r="O50" s="157">
        <f t="shared" si="3"/>
        <v>40</v>
      </c>
    </row>
    <row r="51" spans="1:15" hidden="1" x14ac:dyDescent="0.2">
      <c r="A51" s="160" t="str">
        <f t="shared" si="0"/>
        <v>SC00-AA700-8500-4101</v>
      </c>
      <c r="B51" s="161">
        <f t="shared" si="1"/>
        <v>757</v>
      </c>
      <c r="C51" s="161">
        <f t="shared" si="2"/>
        <v>0</v>
      </c>
      <c r="D51" s="157"/>
      <c r="E51" s="162"/>
      <c r="F51" s="160" t="s">
        <v>411</v>
      </c>
      <c r="G51" s="157"/>
      <c r="H51" s="157"/>
      <c r="I51" s="157"/>
      <c r="J51" s="158">
        <v>757</v>
      </c>
      <c r="K51" s="159" t="s">
        <v>403</v>
      </c>
      <c r="L51" s="159" t="s">
        <v>91</v>
      </c>
      <c r="M51" s="159" t="s">
        <v>412</v>
      </c>
      <c r="N51" s="159" t="s">
        <v>413</v>
      </c>
      <c r="O51" s="157">
        <f t="shared" si="3"/>
        <v>40</v>
      </c>
    </row>
    <row r="52" spans="1:15" hidden="1" x14ac:dyDescent="0.2">
      <c r="A52" s="160" t="str">
        <f t="shared" si="0"/>
        <v>SG00-AA700-8500-4101</v>
      </c>
      <c r="B52" s="161">
        <f t="shared" si="1"/>
        <v>12631</v>
      </c>
      <c r="C52" s="161">
        <f t="shared" si="2"/>
        <v>0</v>
      </c>
      <c r="D52" s="157"/>
      <c r="E52" s="162"/>
      <c r="F52" s="160" t="s">
        <v>411</v>
      </c>
      <c r="G52" s="157"/>
      <c r="H52" s="157"/>
      <c r="I52" s="157"/>
      <c r="J52" s="158">
        <v>12631</v>
      </c>
      <c r="K52" s="159" t="s">
        <v>404</v>
      </c>
      <c r="L52" s="159" t="s">
        <v>91</v>
      </c>
      <c r="M52" s="159" t="s">
        <v>412</v>
      </c>
      <c r="N52" s="159" t="s">
        <v>413</v>
      </c>
      <c r="O52" s="157">
        <f t="shared" si="3"/>
        <v>40</v>
      </c>
    </row>
    <row r="53" spans="1:15" hidden="1" x14ac:dyDescent="0.2">
      <c r="A53" s="160" t="str">
        <f t="shared" si="0"/>
        <v>SK00-AA700-8500-4101</v>
      </c>
      <c r="B53" s="161">
        <f t="shared" si="1"/>
        <v>136</v>
      </c>
      <c r="C53" s="161">
        <f t="shared" si="2"/>
        <v>0</v>
      </c>
      <c r="D53" s="157"/>
      <c r="E53" s="162"/>
      <c r="F53" s="160" t="s">
        <v>411</v>
      </c>
      <c r="G53" s="157"/>
      <c r="H53" s="157"/>
      <c r="I53" s="157"/>
      <c r="J53" s="158">
        <v>136</v>
      </c>
      <c r="K53" s="159" t="s">
        <v>405</v>
      </c>
      <c r="L53" s="159" t="s">
        <v>91</v>
      </c>
      <c r="M53" s="159" t="s">
        <v>412</v>
      </c>
      <c r="N53" s="159" t="s">
        <v>413</v>
      </c>
      <c r="O53" s="157">
        <f t="shared" si="3"/>
        <v>40</v>
      </c>
    </row>
    <row r="54" spans="1:15" ht="15" hidden="1" x14ac:dyDescent="0.25">
      <c r="A54" s="160" t="str">
        <f t="shared" si="0"/>
        <v>CU00-AA700-8500-4101</v>
      </c>
      <c r="B54" s="161">
        <f t="shared" si="1"/>
        <v>0</v>
      </c>
      <c r="C54" s="161">
        <f t="shared" si="2"/>
        <v>44543</v>
      </c>
      <c r="D54" s="157"/>
      <c r="E54" s="163" t="s">
        <v>414</v>
      </c>
      <c r="F54" s="160" t="s">
        <v>411</v>
      </c>
      <c r="G54" s="157"/>
      <c r="H54" s="157"/>
      <c r="I54" s="157"/>
      <c r="J54" s="158">
        <v>-44543</v>
      </c>
      <c r="K54" s="159" t="s">
        <v>24</v>
      </c>
      <c r="L54" s="159" t="s">
        <v>91</v>
      </c>
      <c r="M54" s="159" t="s">
        <v>412</v>
      </c>
      <c r="N54" s="159" t="s">
        <v>413</v>
      </c>
      <c r="O54" s="157">
        <f t="shared" si="3"/>
        <v>40</v>
      </c>
    </row>
    <row r="55" spans="1:15" hidden="1" x14ac:dyDescent="0.2">
      <c r="A55" s="164" t="str">
        <f t="shared" si="0"/>
        <v>CF00-00000-25TX-2832</v>
      </c>
      <c r="B55" s="165">
        <f t="shared" si="1"/>
        <v>0</v>
      </c>
      <c r="C55" s="165">
        <f t="shared" si="2"/>
        <v>2885</v>
      </c>
      <c r="D55" s="166"/>
      <c r="E55" s="167"/>
      <c r="F55" s="160" t="s">
        <v>145</v>
      </c>
      <c r="G55" s="157"/>
      <c r="H55" s="157"/>
      <c r="I55" s="157"/>
      <c r="J55" s="158">
        <v>-2885</v>
      </c>
      <c r="K55" s="159" t="s">
        <v>253</v>
      </c>
      <c r="L55" s="159" t="s">
        <v>19</v>
      </c>
      <c r="M55" s="159" t="s">
        <v>132</v>
      </c>
      <c r="N55" s="159" t="s">
        <v>20</v>
      </c>
      <c r="O55" s="157">
        <f t="shared" si="3"/>
        <v>35</v>
      </c>
    </row>
    <row r="56" spans="1:15" hidden="1" x14ac:dyDescent="0.2">
      <c r="A56" s="160" t="str">
        <f t="shared" si="0"/>
        <v>CF00-00000-280R-254N</v>
      </c>
      <c r="B56" s="161">
        <f t="shared" si="1"/>
        <v>11383</v>
      </c>
      <c r="C56" s="161">
        <f t="shared" si="2"/>
        <v>0</v>
      </c>
      <c r="D56" s="157"/>
      <c r="E56" s="168"/>
      <c r="F56" s="160" t="s">
        <v>145</v>
      </c>
      <c r="G56" s="157"/>
      <c r="H56" s="157"/>
      <c r="I56" s="157"/>
      <c r="J56" s="158">
        <v>11383</v>
      </c>
      <c r="K56" s="159" t="s">
        <v>253</v>
      </c>
      <c r="L56" s="159" t="s">
        <v>19</v>
      </c>
      <c r="M56" s="159" t="s">
        <v>227</v>
      </c>
      <c r="N56" s="159" t="s">
        <v>222</v>
      </c>
      <c r="O56" s="157">
        <f t="shared" si="3"/>
        <v>35</v>
      </c>
    </row>
    <row r="57" spans="1:15" ht="15" hidden="1" x14ac:dyDescent="0.25">
      <c r="A57" s="160" t="str">
        <f t="shared" si="0"/>
        <v>CU00-AA700-8500-4101</v>
      </c>
      <c r="B57" s="161">
        <f t="shared" si="1"/>
        <v>0</v>
      </c>
      <c r="C57" s="161">
        <f t="shared" si="2"/>
        <v>8498</v>
      </c>
      <c r="D57" s="157"/>
      <c r="E57" s="163" t="str">
        <f>K56</f>
        <v>CF00</v>
      </c>
      <c r="F57" s="160" t="s">
        <v>145</v>
      </c>
      <c r="G57" s="157"/>
      <c r="H57" s="157"/>
      <c r="I57" s="157"/>
      <c r="J57" s="158">
        <v>-8498</v>
      </c>
      <c r="K57" s="159" t="s">
        <v>24</v>
      </c>
      <c r="L57" s="159" t="s">
        <v>91</v>
      </c>
      <c r="M57" s="159" t="s">
        <v>412</v>
      </c>
      <c r="N57" s="159" t="s">
        <v>413</v>
      </c>
      <c r="O57" s="157">
        <f t="shared" si="3"/>
        <v>35</v>
      </c>
    </row>
    <row r="58" spans="1:15" hidden="1" x14ac:dyDescent="0.2">
      <c r="A58" s="160" t="str">
        <f t="shared" si="0"/>
        <v>DE00-00000-25TX-2832</v>
      </c>
      <c r="B58" s="161">
        <f t="shared" si="1"/>
        <v>0</v>
      </c>
      <c r="C58" s="161">
        <f t="shared" si="2"/>
        <v>4012</v>
      </c>
      <c r="D58" s="157"/>
      <c r="E58" s="168"/>
      <c r="F58" s="160" t="s">
        <v>145</v>
      </c>
      <c r="G58" s="157"/>
      <c r="H58" s="157"/>
      <c r="I58" s="157"/>
      <c r="J58" s="158">
        <v>-4012</v>
      </c>
      <c r="K58" s="159" t="s">
        <v>56</v>
      </c>
      <c r="L58" s="159" t="s">
        <v>19</v>
      </c>
      <c r="M58" s="159" t="s">
        <v>132</v>
      </c>
      <c r="N58" s="159" t="s">
        <v>20</v>
      </c>
      <c r="O58" s="157">
        <f t="shared" si="3"/>
        <v>35</v>
      </c>
    </row>
    <row r="59" spans="1:15" hidden="1" x14ac:dyDescent="0.2">
      <c r="A59" s="160" t="str">
        <f t="shared" si="0"/>
        <v>DE00-00000-280R-254N</v>
      </c>
      <c r="B59" s="161">
        <f t="shared" si="1"/>
        <v>14395</v>
      </c>
      <c r="C59" s="161">
        <f t="shared" si="2"/>
        <v>0</v>
      </c>
      <c r="D59" s="157"/>
      <c r="E59" s="168"/>
      <c r="F59" s="160" t="s">
        <v>145</v>
      </c>
      <c r="G59" s="157"/>
      <c r="H59" s="157"/>
      <c r="I59" s="157"/>
      <c r="J59" s="158">
        <v>14395</v>
      </c>
      <c r="K59" s="159" t="s">
        <v>56</v>
      </c>
      <c r="L59" s="159" t="s">
        <v>19</v>
      </c>
      <c r="M59" s="159" t="s">
        <v>227</v>
      </c>
      <c r="N59" s="159" t="s">
        <v>222</v>
      </c>
      <c r="O59" s="157">
        <f t="shared" si="3"/>
        <v>35</v>
      </c>
    </row>
    <row r="60" spans="1:15" ht="15" hidden="1" x14ac:dyDescent="0.25">
      <c r="A60" s="160" t="str">
        <f t="shared" si="0"/>
        <v>CU00-AA700-8500-4101</v>
      </c>
      <c r="B60" s="161">
        <f t="shared" si="1"/>
        <v>0</v>
      </c>
      <c r="C60" s="161">
        <f t="shared" si="2"/>
        <v>10383</v>
      </c>
      <c r="D60" s="157"/>
      <c r="E60" s="163" t="str">
        <f>K59</f>
        <v>DE00</v>
      </c>
      <c r="F60" s="160" t="s">
        <v>145</v>
      </c>
      <c r="G60" s="157"/>
      <c r="H60" s="157"/>
      <c r="I60" s="157"/>
      <c r="J60" s="158">
        <v>-10383</v>
      </c>
      <c r="K60" s="159" t="s">
        <v>24</v>
      </c>
      <c r="L60" s="159" t="s">
        <v>91</v>
      </c>
      <c r="M60" s="159" t="s">
        <v>412</v>
      </c>
      <c r="N60" s="159" t="s">
        <v>413</v>
      </c>
      <c r="O60" s="157">
        <f t="shared" si="3"/>
        <v>35</v>
      </c>
    </row>
    <row r="61" spans="1:15" hidden="1" x14ac:dyDescent="0.2">
      <c r="A61" s="160" t="str">
        <f t="shared" si="0"/>
        <v>ES00-00000-25TX-2832</v>
      </c>
      <c r="B61" s="161">
        <f t="shared" si="1"/>
        <v>0</v>
      </c>
      <c r="C61" s="161">
        <f t="shared" si="2"/>
        <v>12060</v>
      </c>
      <c r="D61" s="157"/>
      <c r="E61" s="168"/>
      <c r="F61" s="160" t="s">
        <v>145</v>
      </c>
      <c r="G61" s="157"/>
      <c r="H61" s="157"/>
      <c r="I61" s="157"/>
      <c r="J61" s="158">
        <v>-12060</v>
      </c>
      <c r="K61" s="159" t="s">
        <v>256</v>
      </c>
      <c r="L61" s="159" t="s">
        <v>19</v>
      </c>
      <c r="M61" s="159" t="s">
        <v>132</v>
      </c>
      <c r="N61" s="159" t="s">
        <v>20</v>
      </c>
      <c r="O61" s="157">
        <f t="shared" si="3"/>
        <v>35</v>
      </c>
    </row>
    <row r="62" spans="1:15" hidden="1" x14ac:dyDescent="0.2">
      <c r="A62" s="160" t="str">
        <f t="shared" si="0"/>
        <v>ES00-00000-280R-254N</v>
      </c>
      <c r="B62" s="161">
        <f t="shared" si="1"/>
        <v>41596</v>
      </c>
      <c r="C62" s="161">
        <f t="shared" si="2"/>
        <v>0</v>
      </c>
      <c r="D62" s="157"/>
      <c r="E62" s="168"/>
      <c r="F62" s="160" t="s">
        <v>145</v>
      </c>
      <c r="G62" s="157"/>
      <c r="H62" s="157"/>
      <c r="I62" s="157"/>
      <c r="J62" s="158">
        <v>41596</v>
      </c>
      <c r="K62" s="159" t="s">
        <v>256</v>
      </c>
      <c r="L62" s="159" t="s">
        <v>19</v>
      </c>
      <c r="M62" s="159" t="s">
        <v>227</v>
      </c>
      <c r="N62" s="159" t="s">
        <v>222</v>
      </c>
      <c r="O62" s="157">
        <f t="shared" si="3"/>
        <v>35</v>
      </c>
    </row>
    <row r="63" spans="1:15" ht="15" hidden="1" x14ac:dyDescent="0.25">
      <c r="A63" s="160" t="str">
        <f t="shared" si="0"/>
        <v>CU00-AA700-8500-4101</v>
      </c>
      <c r="B63" s="161">
        <f t="shared" si="1"/>
        <v>0</v>
      </c>
      <c r="C63" s="161">
        <f t="shared" si="2"/>
        <v>29536</v>
      </c>
      <c r="D63" s="157"/>
      <c r="E63" s="163" t="str">
        <f>K62</f>
        <v>ES00</v>
      </c>
      <c r="F63" s="160" t="s">
        <v>145</v>
      </c>
      <c r="G63" s="157"/>
      <c r="H63" s="157"/>
      <c r="I63" s="157"/>
      <c r="J63" s="158">
        <v>-29536</v>
      </c>
      <c r="K63" s="159" t="s">
        <v>24</v>
      </c>
      <c r="L63" s="159" t="s">
        <v>91</v>
      </c>
      <c r="M63" s="159" t="s">
        <v>412</v>
      </c>
      <c r="N63" s="159" t="s">
        <v>413</v>
      </c>
      <c r="O63" s="157">
        <f t="shared" si="3"/>
        <v>35</v>
      </c>
    </row>
    <row r="64" spans="1:15" hidden="1" x14ac:dyDescent="0.2">
      <c r="A64" s="160" t="str">
        <f t="shared" si="0"/>
        <v>FE00-00000-25TX-2832</v>
      </c>
      <c r="B64" s="161">
        <f t="shared" si="1"/>
        <v>0</v>
      </c>
      <c r="C64" s="161">
        <f t="shared" si="2"/>
        <v>3277</v>
      </c>
      <c r="D64" s="157"/>
      <c r="E64" s="168"/>
      <c r="F64" s="160" t="s">
        <v>145</v>
      </c>
      <c r="G64" s="157"/>
      <c r="H64" s="157"/>
      <c r="I64" s="157"/>
      <c r="J64" s="158">
        <v>-3277</v>
      </c>
      <c r="K64" s="159" t="s">
        <v>241</v>
      </c>
      <c r="L64" s="159" t="s">
        <v>19</v>
      </c>
      <c r="M64" s="159" t="s">
        <v>132</v>
      </c>
      <c r="N64" s="159" t="s">
        <v>20</v>
      </c>
      <c r="O64" s="157">
        <f t="shared" si="3"/>
        <v>35</v>
      </c>
    </row>
    <row r="65" spans="1:15" hidden="1" x14ac:dyDescent="0.2">
      <c r="A65" s="160" t="str">
        <f t="shared" si="0"/>
        <v>FE00-00000-280R-254N</v>
      </c>
      <c r="B65" s="161">
        <f t="shared" si="1"/>
        <v>12930</v>
      </c>
      <c r="C65" s="161">
        <f t="shared" si="2"/>
        <v>0</v>
      </c>
      <c r="D65" s="157"/>
      <c r="E65" s="168"/>
      <c r="F65" s="160" t="s">
        <v>145</v>
      </c>
      <c r="G65" s="157"/>
      <c r="H65" s="157"/>
      <c r="I65" s="157"/>
      <c r="J65" s="158">
        <v>12930</v>
      </c>
      <c r="K65" s="159" t="s">
        <v>241</v>
      </c>
      <c r="L65" s="159" t="s">
        <v>19</v>
      </c>
      <c r="M65" s="159" t="s">
        <v>227</v>
      </c>
      <c r="N65" s="159" t="s">
        <v>222</v>
      </c>
      <c r="O65" s="157">
        <f t="shared" si="3"/>
        <v>35</v>
      </c>
    </row>
    <row r="66" spans="1:15" ht="15" hidden="1" x14ac:dyDescent="0.25">
      <c r="A66" s="160" t="str">
        <f t="shared" si="0"/>
        <v>CU00-AA700-8500-4101</v>
      </c>
      <c r="B66" s="161">
        <f t="shared" si="1"/>
        <v>0</v>
      </c>
      <c r="C66" s="161">
        <f t="shared" si="2"/>
        <v>9653</v>
      </c>
      <c r="D66" s="157"/>
      <c r="E66" s="163" t="str">
        <f>K65</f>
        <v>FE00</v>
      </c>
      <c r="F66" s="160" t="s">
        <v>145</v>
      </c>
      <c r="G66" s="157"/>
      <c r="H66" s="157"/>
      <c r="I66" s="157"/>
      <c r="J66" s="158">
        <v>-9653</v>
      </c>
      <c r="K66" s="159" t="s">
        <v>24</v>
      </c>
      <c r="L66" s="159" t="s">
        <v>91</v>
      </c>
      <c r="M66" s="159" t="s">
        <v>412</v>
      </c>
      <c r="N66" s="159" t="s">
        <v>413</v>
      </c>
      <c r="O66" s="157">
        <f t="shared" si="3"/>
        <v>35</v>
      </c>
    </row>
    <row r="67" spans="1:15" hidden="1" x14ac:dyDescent="0.2">
      <c r="A67" s="160" t="str">
        <f t="shared" si="0"/>
        <v>FI00-00000-25TX-2832</v>
      </c>
      <c r="B67" s="161">
        <f t="shared" si="1"/>
        <v>0</v>
      </c>
      <c r="C67" s="161">
        <f t="shared" si="2"/>
        <v>70</v>
      </c>
      <c r="D67" s="157"/>
      <c r="E67" s="168"/>
      <c r="F67" s="160" t="s">
        <v>145</v>
      </c>
      <c r="G67" s="157"/>
      <c r="H67" s="157"/>
      <c r="I67" s="157"/>
      <c r="J67" s="158">
        <v>-70</v>
      </c>
      <c r="K67" s="159" t="s">
        <v>267</v>
      </c>
      <c r="L67" s="159" t="s">
        <v>19</v>
      </c>
      <c r="M67" s="159" t="s">
        <v>132</v>
      </c>
      <c r="N67" s="159" t="s">
        <v>20</v>
      </c>
      <c r="O67" s="157">
        <f t="shared" si="3"/>
        <v>35</v>
      </c>
    </row>
    <row r="68" spans="1:15" hidden="1" x14ac:dyDescent="0.2">
      <c r="A68" s="160" t="str">
        <f t="shared" si="0"/>
        <v>FI00-00000-280R-254N</v>
      </c>
      <c r="B68" s="161">
        <f t="shared" si="1"/>
        <v>275</v>
      </c>
      <c r="C68" s="161">
        <f t="shared" si="2"/>
        <v>0</v>
      </c>
      <c r="D68" s="157"/>
      <c r="E68" s="168"/>
      <c r="F68" s="160" t="s">
        <v>145</v>
      </c>
      <c r="G68" s="157"/>
      <c r="H68" s="157"/>
      <c r="I68" s="157"/>
      <c r="J68" s="158">
        <v>275</v>
      </c>
      <c r="K68" s="159" t="s">
        <v>267</v>
      </c>
      <c r="L68" s="159" t="s">
        <v>19</v>
      </c>
      <c r="M68" s="159" t="s">
        <v>227</v>
      </c>
      <c r="N68" s="159" t="s">
        <v>222</v>
      </c>
      <c r="O68" s="157">
        <f t="shared" si="3"/>
        <v>35</v>
      </c>
    </row>
    <row r="69" spans="1:15" ht="15" hidden="1" x14ac:dyDescent="0.25">
      <c r="A69" s="160" t="str">
        <f t="shared" si="0"/>
        <v>CU00-AA700-8500-4101</v>
      </c>
      <c r="B69" s="161">
        <f t="shared" si="1"/>
        <v>0</v>
      </c>
      <c r="C69" s="161">
        <f t="shared" si="2"/>
        <v>205</v>
      </c>
      <c r="D69" s="157"/>
      <c r="E69" s="163" t="str">
        <f>K68</f>
        <v>FI00</v>
      </c>
      <c r="F69" s="160" t="s">
        <v>145</v>
      </c>
      <c r="G69" s="157"/>
      <c r="H69" s="157"/>
      <c r="I69" s="157"/>
      <c r="J69" s="158">
        <v>-205</v>
      </c>
      <c r="K69" s="159" t="s">
        <v>24</v>
      </c>
      <c r="L69" s="159" t="s">
        <v>91</v>
      </c>
      <c r="M69" s="159" t="s">
        <v>412</v>
      </c>
      <c r="N69" s="159" t="s">
        <v>413</v>
      </c>
      <c r="O69" s="157">
        <f t="shared" si="3"/>
        <v>35</v>
      </c>
    </row>
    <row r="70" spans="1:15" hidden="1" x14ac:dyDescent="0.2">
      <c r="A70" s="160" t="str">
        <f t="shared" si="0"/>
        <v>FN00-00000-25TX-2832</v>
      </c>
      <c r="B70" s="161">
        <f t="shared" si="1"/>
        <v>0</v>
      </c>
      <c r="C70" s="161">
        <f t="shared" si="2"/>
        <v>7756</v>
      </c>
      <c r="D70" s="157"/>
      <c r="E70" s="168"/>
      <c r="F70" s="160" t="s">
        <v>145</v>
      </c>
      <c r="G70" s="157"/>
      <c r="H70" s="157"/>
      <c r="I70" s="157"/>
      <c r="J70" s="158">
        <v>-7756</v>
      </c>
      <c r="K70" s="159" t="s">
        <v>259</v>
      </c>
      <c r="L70" s="159" t="s">
        <v>19</v>
      </c>
      <c r="M70" s="159" t="s">
        <v>132</v>
      </c>
      <c r="N70" s="159" t="s">
        <v>20</v>
      </c>
      <c r="O70" s="157">
        <f t="shared" si="3"/>
        <v>35</v>
      </c>
    </row>
    <row r="71" spans="1:15" hidden="1" x14ac:dyDescent="0.2">
      <c r="A71" s="160" t="str">
        <f t="shared" si="0"/>
        <v>FN00-00000-280R-254N</v>
      </c>
      <c r="B71" s="161">
        <f t="shared" si="1"/>
        <v>30603</v>
      </c>
      <c r="C71" s="161">
        <f t="shared" si="2"/>
        <v>0</v>
      </c>
      <c r="D71" s="157"/>
      <c r="E71" s="168"/>
      <c r="F71" s="160" t="s">
        <v>145</v>
      </c>
      <c r="G71" s="157"/>
      <c r="H71" s="157"/>
      <c r="I71" s="157"/>
      <c r="J71" s="158">
        <v>30603</v>
      </c>
      <c r="K71" s="159" t="s">
        <v>259</v>
      </c>
      <c r="L71" s="159" t="s">
        <v>19</v>
      </c>
      <c r="M71" s="159" t="s">
        <v>227</v>
      </c>
      <c r="N71" s="159" t="s">
        <v>222</v>
      </c>
      <c r="O71" s="157">
        <f t="shared" si="3"/>
        <v>35</v>
      </c>
    </row>
    <row r="72" spans="1:15" ht="15" hidden="1" x14ac:dyDescent="0.25">
      <c r="A72" s="160" t="str">
        <f t="shared" ref="A72:A81" si="4">UPPER(K72&amp;"-"&amp;L72&amp;"-"&amp;M72&amp;"-"&amp;N72)</f>
        <v>CU00-AA700-8500-4101</v>
      </c>
      <c r="B72" s="161">
        <f t="shared" ref="B72:B81" si="5">ROUND(IF($J72&gt;0,$J72,0),2)</f>
        <v>0</v>
      </c>
      <c r="C72" s="161">
        <f t="shared" ref="C72:C81" si="6">ROUND(IF($J72&lt;0,-$J72,0),2)</f>
        <v>22847</v>
      </c>
      <c r="D72" s="157"/>
      <c r="E72" s="163" t="str">
        <f>K71</f>
        <v>FN00</v>
      </c>
      <c r="F72" s="160" t="s">
        <v>145</v>
      </c>
      <c r="G72" s="157"/>
      <c r="H72" s="157"/>
      <c r="I72" s="157"/>
      <c r="J72" s="158">
        <v>-22847</v>
      </c>
      <c r="K72" s="159" t="s">
        <v>24</v>
      </c>
      <c r="L72" s="159" t="s">
        <v>91</v>
      </c>
      <c r="M72" s="159" t="s">
        <v>412</v>
      </c>
      <c r="N72" s="159" t="s">
        <v>413</v>
      </c>
      <c r="O72" s="157">
        <f t="shared" ref="O72:O81" si="7">LEN(F72)</f>
        <v>35</v>
      </c>
    </row>
    <row r="73" spans="1:15" x14ac:dyDescent="0.2">
      <c r="A73" s="160" t="str">
        <f t="shared" si="4"/>
        <v>FT00-00000-25TX-2832</v>
      </c>
      <c r="B73" s="161">
        <f t="shared" si="5"/>
        <v>0</v>
      </c>
      <c r="C73" s="161">
        <f t="shared" si="6"/>
        <v>53</v>
      </c>
      <c r="D73" s="157"/>
      <c r="E73" s="168"/>
      <c r="F73" s="160" t="s">
        <v>145</v>
      </c>
      <c r="G73" s="157"/>
      <c r="H73" s="157"/>
      <c r="I73" s="157"/>
      <c r="J73" s="158">
        <v>-53</v>
      </c>
      <c r="K73" s="159" t="s">
        <v>261</v>
      </c>
      <c r="L73" s="159" t="s">
        <v>19</v>
      </c>
      <c r="M73" s="159" t="s">
        <v>132</v>
      </c>
      <c r="N73" s="159" t="s">
        <v>20</v>
      </c>
      <c r="O73" s="157">
        <f t="shared" si="7"/>
        <v>35</v>
      </c>
    </row>
    <row r="74" spans="1:15" x14ac:dyDescent="0.2">
      <c r="A74" s="160" t="str">
        <f t="shared" si="4"/>
        <v>FT00-00000-280R-254N</v>
      </c>
      <c r="B74" s="161">
        <f t="shared" si="5"/>
        <v>209</v>
      </c>
      <c r="C74" s="161">
        <f t="shared" si="6"/>
        <v>0</v>
      </c>
      <c r="D74" s="157"/>
      <c r="E74" s="168"/>
      <c r="F74" s="160" t="s">
        <v>145</v>
      </c>
      <c r="G74" s="157"/>
      <c r="H74" s="157"/>
      <c r="I74" s="157"/>
      <c r="J74" s="158">
        <v>209</v>
      </c>
      <c r="K74" s="159" t="s">
        <v>261</v>
      </c>
      <c r="L74" s="159" t="s">
        <v>19</v>
      </c>
      <c r="M74" s="159" t="s">
        <v>227</v>
      </c>
      <c r="N74" s="159" t="s">
        <v>222</v>
      </c>
      <c r="O74" s="157">
        <f t="shared" si="7"/>
        <v>35</v>
      </c>
    </row>
    <row r="75" spans="1:15" ht="15" hidden="1" x14ac:dyDescent="0.25">
      <c r="A75" s="160" t="str">
        <f t="shared" si="4"/>
        <v>CU00-AA700-8500-4101</v>
      </c>
      <c r="B75" s="161">
        <f t="shared" si="5"/>
        <v>0</v>
      </c>
      <c r="C75" s="161">
        <f t="shared" si="6"/>
        <v>156</v>
      </c>
      <c r="D75" s="157"/>
      <c r="E75" s="163" t="str">
        <f>K74</f>
        <v>FT00</v>
      </c>
      <c r="F75" s="160" t="s">
        <v>145</v>
      </c>
      <c r="G75" s="157"/>
      <c r="H75" s="157"/>
      <c r="I75" s="157"/>
      <c r="J75" s="158">
        <v>-156</v>
      </c>
      <c r="K75" s="159" t="s">
        <v>24</v>
      </c>
      <c r="L75" s="159" t="s">
        <v>91</v>
      </c>
      <c r="M75" s="159" t="s">
        <v>412</v>
      </c>
      <c r="N75" s="159" t="s">
        <v>413</v>
      </c>
      <c r="O75" s="157">
        <f t="shared" si="7"/>
        <v>35</v>
      </c>
    </row>
    <row r="76" spans="1:15" hidden="1" x14ac:dyDescent="0.2">
      <c r="A76" s="160" t="str">
        <f t="shared" si="4"/>
        <v>MD00-00000-25TX-2832</v>
      </c>
      <c r="B76" s="161">
        <f t="shared" si="5"/>
        <v>0</v>
      </c>
      <c r="C76" s="161">
        <f t="shared" si="6"/>
        <v>1451</v>
      </c>
      <c r="D76" s="157"/>
      <c r="E76" s="168"/>
      <c r="F76" s="160" t="s">
        <v>145</v>
      </c>
      <c r="G76" s="157"/>
      <c r="H76" s="157"/>
      <c r="I76" s="157"/>
      <c r="J76" s="158">
        <v>-1451</v>
      </c>
      <c r="K76" s="159" t="s">
        <v>30</v>
      </c>
      <c r="L76" s="159" t="s">
        <v>19</v>
      </c>
      <c r="M76" s="159" t="s">
        <v>132</v>
      </c>
      <c r="N76" s="159" t="s">
        <v>20</v>
      </c>
      <c r="O76" s="157">
        <f t="shared" si="7"/>
        <v>35</v>
      </c>
    </row>
    <row r="77" spans="1:15" hidden="1" x14ac:dyDescent="0.2">
      <c r="A77" s="160" t="str">
        <f t="shared" si="4"/>
        <v>MD00-00000-280R-254N</v>
      </c>
      <c r="B77" s="161">
        <f t="shared" si="5"/>
        <v>5272</v>
      </c>
      <c r="C77" s="161">
        <f t="shared" si="6"/>
        <v>0</v>
      </c>
      <c r="D77" s="157"/>
      <c r="E77" s="168"/>
      <c r="F77" s="160" t="s">
        <v>145</v>
      </c>
      <c r="G77" s="157"/>
      <c r="H77" s="157"/>
      <c r="I77" s="157"/>
      <c r="J77" s="158">
        <v>5272</v>
      </c>
      <c r="K77" s="159" t="s">
        <v>30</v>
      </c>
      <c r="L77" s="159" t="s">
        <v>19</v>
      </c>
      <c r="M77" s="159" t="s">
        <v>227</v>
      </c>
      <c r="N77" s="159" t="s">
        <v>222</v>
      </c>
      <c r="O77" s="157">
        <f t="shared" si="7"/>
        <v>35</v>
      </c>
    </row>
    <row r="78" spans="1:15" ht="15" hidden="1" x14ac:dyDescent="0.25">
      <c r="A78" s="160" t="str">
        <f t="shared" si="4"/>
        <v>CU00-AA700-8500-4101</v>
      </c>
      <c r="B78" s="161">
        <f t="shared" si="5"/>
        <v>0</v>
      </c>
      <c r="C78" s="161">
        <f t="shared" si="6"/>
        <v>3821</v>
      </c>
      <c r="D78" s="157"/>
      <c r="E78" s="163" t="str">
        <f>K77</f>
        <v>MD00</v>
      </c>
      <c r="F78" s="160" t="s">
        <v>145</v>
      </c>
      <c r="G78" s="157"/>
      <c r="H78" s="157"/>
      <c r="I78" s="157"/>
      <c r="J78" s="158">
        <v>-3821</v>
      </c>
      <c r="K78" s="159" t="s">
        <v>24</v>
      </c>
      <c r="L78" s="159" t="s">
        <v>91</v>
      </c>
      <c r="M78" s="159" t="s">
        <v>412</v>
      </c>
      <c r="N78" s="159" t="s">
        <v>413</v>
      </c>
      <c r="O78" s="157">
        <f t="shared" si="7"/>
        <v>35</v>
      </c>
    </row>
    <row r="79" spans="1:15" hidden="1" x14ac:dyDescent="0.2">
      <c r="A79" s="160" t="str">
        <f t="shared" si="4"/>
        <v>WC00-00000-25TX-2832</v>
      </c>
      <c r="B79" s="161">
        <f t="shared" si="5"/>
        <v>0</v>
      </c>
      <c r="C79" s="161">
        <f t="shared" si="6"/>
        <v>1536</v>
      </c>
      <c r="D79" s="157"/>
      <c r="E79" s="168"/>
      <c r="F79" s="160" t="s">
        <v>145</v>
      </c>
      <c r="G79" s="157"/>
      <c r="H79" s="157"/>
      <c r="I79" s="157"/>
      <c r="J79" s="158">
        <v>-1536</v>
      </c>
      <c r="K79" s="159" t="s">
        <v>18</v>
      </c>
      <c r="L79" s="159" t="s">
        <v>19</v>
      </c>
      <c r="M79" s="159" t="s">
        <v>132</v>
      </c>
      <c r="N79" s="159" t="s">
        <v>20</v>
      </c>
      <c r="O79" s="157">
        <f t="shared" si="7"/>
        <v>35</v>
      </c>
    </row>
    <row r="80" spans="1:15" hidden="1" x14ac:dyDescent="0.2">
      <c r="A80" s="160" t="str">
        <f t="shared" si="4"/>
        <v>WC00-00000-280R-254N</v>
      </c>
      <c r="B80" s="161">
        <f t="shared" si="5"/>
        <v>5581</v>
      </c>
      <c r="C80" s="161">
        <f t="shared" si="6"/>
        <v>0</v>
      </c>
      <c r="D80" s="157"/>
      <c r="E80" s="168"/>
      <c r="F80" s="160" t="s">
        <v>145</v>
      </c>
      <c r="G80" s="157"/>
      <c r="H80" s="157"/>
      <c r="I80" s="157"/>
      <c r="J80" s="158">
        <v>5581</v>
      </c>
      <c r="K80" s="159" t="s">
        <v>18</v>
      </c>
      <c r="L80" s="159" t="s">
        <v>19</v>
      </c>
      <c r="M80" s="159" t="s">
        <v>227</v>
      </c>
      <c r="N80" s="159" t="s">
        <v>222</v>
      </c>
      <c r="O80" s="157">
        <f t="shared" si="7"/>
        <v>35</v>
      </c>
    </row>
    <row r="81" spans="1:19" ht="15" hidden="1" x14ac:dyDescent="0.25">
      <c r="A81" s="160" t="str">
        <f t="shared" si="4"/>
        <v>CU00-AA700-8500-4101</v>
      </c>
      <c r="B81" s="161">
        <f t="shared" si="5"/>
        <v>0</v>
      </c>
      <c r="C81" s="161">
        <f t="shared" si="6"/>
        <v>4045</v>
      </c>
      <c r="D81" s="157"/>
      <c r="E81" s="163" t="str">
        <f>K80</f>
        <v>WC00</v>
      </c>
      <c r="F81" s="160" t="s">
        <v>145</v>
      </c>
      <c r="G81" s="157"/>
      <c r="H81" s="157"/>
      <c r="I81" s="157"/>
      <c r="J81" s="158">
        <v>-4045</v>
      </c>
      <c r="K81" s="159" t="s">
        <v>24</v>
      </c>
      <c r="L81" s="159" t="s">
        <v>91</v>
      </c>
      <c r="M81" s="159" t="s">
        <v>412</v>
      </c>
      <c r="N81" s="159" t="s">
        <v>413</v>
      </c>
      <c r="O81" s="157">
        <f t="shared" si="7"/>
        <v>35</v>
      </c>
    </row>
    <row r="82" spans="1:19" ht="6" customHeight="1" x14ac:dyDescent="0.2"/>
    <row r="83" spans="1:19" ht="13.5" thickBot="1" x14ac:dyDescent="0.25">
      <c r="A83" s="123" t="s">
        <v>406</v>
      </c>
      <c r="B83" s="145">
        <f>SUBTOTAL(9,B8:B82)</f>
        <v>1306</v>
      </c>
      <c r="C83" s="145">
        <f>SUBTOTAL(9,C8:C82)</f>
        <v>331</v>
      </c>
      <c r="J83" s="145">
        <f>SUBTOTAL(9,J8:J82)</f>
        <v>975</v>
      </c>
      <c r="K83" s="146"/>
      <c r="L83" s="111"/>
      <c r="M83" s="111"/>
      <c r="N83" s="112"/>
      <c r="O83" s="147">
        <f>SUBTOTAL(3,O8:O82)</f>
        <v>4</v>
      </c>
      <c r="P83" s="145"/>
      <c r="Q83" s="145"/>
      <c r="R83" s="145"/>
    </row>
    <row r="84" spans="1:19" ht="6" customHeight="1" x14ac:dyDescent="0.2"/>
    <row r="85" spans="1:19" x14ac:dyDescent="0.2">
      <c r="A85" s="108" t="s">
        <v>407</v>
      </c>
      <c r="C85" s="107">
        <f>B83-C83</f>
        <v>975</v>
      </c>
      <c r="J85" s="107">
        <v>-331</v>
      </c>
      <c r="K85" s="113" t="s">
        <v>132</v>
      </c>
    </row>
    <row r="86" spans="1:19" x14ac:dyDescent="0.2">
      <c r="J86" s="107">
        <v>1306</v>
      </c>
      <c r="K86" s="113" t="s">
        <v>227</v>
      </c>
    </row>
    <row r="88" spans="1:19" x14ac:dyDescent="0.2">
      <c r="J88" s="107">
        <f>SUBTOTAL(9,J85:J87)</f>
        <v>975</v>
      </c>
    </row>
    <row r="91" spans="1:19" x14ac:dyDescent="0.2">
      <c r="A91" s="148" t="s">
        <v>408</v>
      </c>
      <c r="B91" s="161">
        <f>ROUND(IF($J91&gt;0,$J91,0),2)</f>
        <v>0</v>
      </c>
      <c r="C91" s="161">
        <f>ROUND(IF($J91&lt;0,-$J91,0),2)</f>
        <v>0</v>
      </c>
      <c r="D91" s="148"/>
      <c r="E91" s="149"/>
      <c r="F91" s="148"/>
      <c r="G91" s="150"/>
      <c r="H91" s="150"/>
      <c r="I91" s="150"/>
      <c r="J91" s="151">
        <v>0</v>
      </c>
      <c r="K91" s="152" t="str">
        <f>LEFT($A91,4)</f>
        <v>cccc</v>
      </c>
      <c r="L91" s="152" t="str">
        <f>MID($A91,6,5)</f>
        <v>ddddd</v>
      </c>
      <c r="M91" s="152" t="str">
        <f>MID($A91,12,4)</f>
        <v>nnnn</v>
      </c>
      <c r="N91" s="152" t="str">
        <f>RIGHT($A91,4)</f>
        <v>aaaa</v>
      </c>
      <c r="O91" s="150">
        <f>LEN(F91)</f>
        <v>0</v>
      </c>
      <c r="S91" s="108" t="s">
        <v>409</v>
      </c>
    </row>
  </sheetData>
  <autoFilter ref="A7:R81">
    <filterColumn colId="10">
      <filters>
        <filter val="FT00"/>
      </filters>
    </filterColumn>
  </autoFilter>
  <conditionalFormatting sqref="O8:O81">
    <cfRule type="cellIs" dxfId="2" priority="3" stopIfTrue="1" operator="greaterThan">
      <formula>40</formula>
    </cfRule>
  </conditionalFormatting>
  <conditionalFormatting sqref="M3">
    <cfRule type="cellIs" dxfId="1" priority="2" stopIfTrue="1" operator="greaterThan">
      <formula>30</formula>
    </cfRule>
  </conditionalFormatting>
  <conditionalFormatting sqref="O91">
    <cfRule type="cellIs" dxfId="0" priority="1" stopIfTrue="1" operator="greaterThan">
      <formula>40</formula>
    </cfRule>
  </conditionalFormatting>
  <printOptions gridLines="1"/>
  <pageMargins left="0.75" right="0.75" top="1" bottom="1" header="0.5" footer="0.5"/>
  <pageSetup scale="75" fitToHeight="0" orientation="portrait" r:id="rId1"/>
  <headerFooter alignWithMargins="0">
    <oddFooter>&amp;L&amp;F &amp;A&amp;CPage &amp;P of 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01"/>
  <sheetViews>
    <sheetView topLeftCell="A7" workbookViewId="0">
      <selection activeCell="J15" sqref="J15"/>
    </sheetView>
  </sheetViews>
  <sheetFormatPr defaultRowHeight="15" x14ac:dyDescent="0.25"/>
  <cols>
    <col min="1" max="3" width="9.140625" style="327"/>
    <col min="4" max="7" width="11.7109375" style="327" customWidth="1"/>
    <col min="8" max="8" width="19" style="327" bestFit="1" customWidth="1"/>
    <col min="9" max="9" width="14" style="327" customWidth="1"/>
    <col min="10" max="10" width="14.7109375" style="327" customWidth="1"/>
    <col min="11" max="15" width="11.7109375" style="327" customWidth="1"/>
    <col min="16" max="16" width="9.140625" style="327"/>
    <col min="17" max="17" width="10.85546875" style="327" bestFit="1" customWidth="1"/>
    <col min="18" max="16384" width="9.140625" style="327"/>
  </cols>
  <sheetData>
    <row r="1" spans="1:13" ht="31.5" x14ac:dyDescent="0.5">
      <c r="A1" s="260" t="s">
        <v>1298</v>
      </c>
    </row>
    <row r="2" spans="1:13" ht="31.5" x14ac:dyDescent="0.5">
      <c r="A2" s="260" t="s">
        <v>1299</v>
      </c>
    </row>
    <row r="3" spans="1:13" x14ac:dyDescent="0.25">
      <c r="A3" s="44"/>
      <c r="B3" s="44"/>
      <c r="C3" s="44"/>
      <c r="D3" s="44"/>
      <c r="E3" s="44"/>
      <c r="F3" s="44"/>
      <c r="G3" s="44"/>
    </row>
    <row r="4" spans="1:13" ht="30" x14ac:dyDescent="0.25">
      <c r="A4" s="44"/>
      <c r="B4" s="44"/>
      <c r="C4" s="44"/>
      <c r="G4" s="328" t="s">
        <v>1276</v>
      </c>
      <c r="H4" s="328" t="s">
        <v>1277</v>
      </c>
      <c r="I4" s="328" t="s">
        <v>1278</v>
      </c>
      <c r="J4" s="328" t="s">
        <v>1279</v>
      </c>
    </row>
    <row r="5" spans="1:13" x14ac:dyDescent="0.25">
      <c r="A5" s="44" t="s">
        <v>232</v>
      </c>
      <c r="B5" s="44"/>
      <c r="C5" s="44"/>
      <c r="F5" s="329">
        <v>2019</v>
      </c>
      <c r="G5" s="330">
        <f>'FT Combined ARAM Summary'!E12</f>
        <v>11562.046908999982</v>
      </c>
      <c r="H5" s="331" t="s">
        <v>1297</v>
      </c>
      <c r="I5" s="330">
        <f>VLOOKUP(F5,$B$19:$C$95,2,0)</f>
        <v>241.55643468754738</v>
      </c>
      <c r="J5" s="332">
        <f>+I5/12</f>
        <v>20.129702890628948</v>
      </c>
      <c r="L5" s="332"/>
      <c r="M5" s="333"/>
    </row>
    <row r="6" spans="1:13" x14ac:dyDescent="0.25">
      <c r="A6" s="44"/>
      <c r="B6" s="44"/>
      <c r="C6" s="44"/>
      <c r="G6" s="44"/>
      <c r="H6" s="331"/>
      <c r="I6" s="330"/>
      <c r="J6" s="44"/>
      <c r="L6" s="332"/>
    </row>
    <row r="7" spans="1:13" x14ac:dyDescent="0.25">
      <c r="A7" s="44" t="s">
        <v>233</v>
      </c>
      <c r="B7" s="44"/>
      <c r="C7" s="44"/>
      <c r="G7" s="330">
        <f>'FT ADIT Before-After As IF'!O34</f>
        <v>-4259.9833902618702</v>
      </c>
      <c r="H7" s="331">
        <v>10</v>
      </c>
      <c r="I7" s="330">
        <f>G7/H7</f>
        <v>-425.99833902618701</v>
      </c>
      <c r="J7" s="332">
        <f>+I7/12</f>
        <v>-35.499861585515582</v>
      </c>
      <c r="L7" s="332"/>
      <c r="M7" s="333"/>
    </row>
    <row r="8" spans="1:13" x14ac:dyDescent="0.25">
      <c r="A8" s="44"/>
      <c r="B8" s="44"/>
      <c r="C8" s="44"/>
      <c r="G8" s="330"/>
      <c r="H8" s="335"/>
      <c r="I8" s="330"/>
      <c r="J8" s="44"/>
      <c r="L8" s="332"/>
      <c r="M8" s="44"/>
    </row>
    <row r="9" spans="1:13" x14ac:dyDescent="0.25">
      <c r="A9" s="44" t="s">
        <v>234</v>
      </c>
      <c r="B9" s="44"/>
      <c r="C9" s="44"/>
      <c r="G9" s="352">
        <f>'FT ADIT Before-After As IF'!O35</f>
        <v>17477.321185626628</v>
      </c>
      <c r="H9" s="331">
        <v>10</v>
      </c>
      <c r="I9" s="330">
        <f>G9/H9</f>
        <v>1747.7321185626629</v>
      </c>
      <c r="J9" s="332">
        <f>+I9/12</f>
        <v>145.64434321355523</v>
      </c>
      <c r="L9" s="332"/>
      <c r="M9" s="353"/>
    </row>
    <row r="10" spans="1:13" x14ac:dyDescent="0.25">
      <c r="A10" s="44"/>
      <c r="B10" s="44"/>
      <c r="C10" s="44"/>
      <c r="G10" s="44"/>
      <c r="H10" s="44"/>
      <c r="I10" s="44"/>
      <c r="J10" s="44"/>
      <c r="L10" s="332"/>
      <c r="M10" s="44"/>
    </row>
    <row r="11" spans="1:13" x14ac:dyDescent="0.25">
      <c r="A11" s="44" t="s">
        <v>235</v>
      </c>
      <c r="B11" s="44"/>
      <c r="C11" s="44"/>
      <c r="G11" s="330">
        <f>SUM(G5:G9)</f>
        <v>24779.38470436474</v>
      </c>
      <c r="H11" s="44"/>
      <c r="I11" s="330">
        <f>SUM(I5:I9)</f>
        <v>1563.2902142240232</v>
      </c>
      <c r="J11" s="332">
        <f>+I11/12</f>
        <v>130.27418451866859</v>
      </c>
      <c r="L11" s="332"/>
      <c r="M11" s="44"/>
    </row>
    <row r="12" spans="1:13" x14ac:dyDescent="0.25">
      <c r="A12" s="44"/>
      <c r="B12" s="44"/>
      <c r="C12" s="44"/>
      <c r="D12" s="44"/>
      <c r="E12" s="337" t="s">
        <v>1280</v>
      </c>
      <c r="F12" s="44"/>
      <c r="G12" s="44"/>
      <c r="L12" s="44"/>
      <c r="M12" s="44"/>
    </row>
    <row r="13" spans="1:13" x14ac:dyDescent="0.25">
      <c r="A13" s="44"/>
      <c r="B13" s="44"/>
      <c r="C13" s="44"/>
      <c r="E13" s="338">
        <f>+F5</f>
        <v>2019</v>
      </c>
      <c r="F13" s="337"/>
      <c r="G13" s="44"/>
      <c r="J13" s="354"/>
      <c r="K13" s="354"/>
      <c r="L13" s="339"/>
      <c r="M13" s="44"/>
    </row>
    <row r="14" spans="1:13" x14ac:dyDescent="0.25">
      <c r="A14" s="340" t="s">
        <v>354</v>
      </c>
      <c r="B14" s="44"/>
      <c r="C14" s="44"/>
      <c r="D14" s="341" t="s">
        <v>1281</v>
      </c>
      <c r="E14" s="342">
        <f>VLOOKUP(E13,$B$19:$E$95,4,0)-VLOOKUP(E13,$B$19:$E$95,3,0)</f>
        <v>-130.27418451867197</v>
      </c>
      <c r="F14" s="342"/>
      <c r="G14" s="44"/>
      <c r="J14" s="44"/>
      <c r="K14" s="44"/>
      <c r="L14" s="339"/>
      <c r="M14" s="44"/>
    </row>
    <row r="15" spans="1:13" x14ac:dyDescent="0.25">
      <c r="A15" s="340" t="s">
        <v>1302</v>
      </c>
      <c r="B15" s="44"/>
      <c r="C15" s="44"/>
      <c r="D15" s="341" t="s">
        <v>1282</v>
      </c>
      <c r="E15" s="332">
        <f>-E14</f>
        <v>130.27418451867197</v>
      </c>
      <c r="F15" s="332"/>
      <c r="G15" s="44"/>
      <c r="J15" s="339">
        <f>-D22+'Amort. of Reg Liab UnPr'!D22</f>
        <v>-56036.178814332612</v>
      </c>
      <c r="K15" s="44"/>
      <c r="L15" s="44"/>
      <c r="M15" s="44"/>
    </row>
    <row r="16" spans="1:13" x14ac:dyDescent="0.25">
      <c r="A16" s="44"/>
      <c r="B16" s="44"/>
      <c r="C16" s="44"/>
      <c r="D16" s="44"/>
      <c r="E16" s="44"/>
      <c r="F16" s="44"/>
      <c r="G16" s="44"/>
      <c r="J16" s="44"/>
      <c r="K16" s="44"/>
      <c r="L16" s="339"/>
      <c r="M16" s="44"/>
    </row>
    <row r="18" spans="1:18" x14ac:dyDescent="0.25">
      <c r="D18" s="343" t="s">
        <v>1283</v>
      </c>
      <c r="E18" s="343" t="s">
        <v>1284</v>
      </c>
      <c r="F18" s="343" t="s">
        <v>1285</v>
      </c>
      <c r="G18" s="343" t="s">
        <v>1286</v>
      </c>
      <c r="H18" s="343" t="s">
        <v>1287</v>
      </c>
      <c r="I18" s="343" t="s">
        <v>1288</v>
      </c>
      <c r="J18" s="343" t="s">
        <v>1289</v>
      </c>
      <c r="K18" s="343" t="s">
        <v>1290</v>
      </c>
      <c r="L18" s="343" t="s">
        <v>1291</v>
      </c>
      <c r="M18" s="343" t="s">
        <v>1292</v>
      </c>
      <c r="N18" s="343" t="s">
        <v>1293</v>
      </c>
      <c r="O18" s="343" t="s">
        <v>1294</v>
      </c>
    </row>
    <row r="19" spans="1:18" s="80" customFormat="1" x14ac:dyDescent="0.25">
      <c r="A19" s="80">
        <v>1</v>
      </c>
      <c r="B19" s="80">
        <v>2018</v>
      </c>
      <c r="C19" s="344">
        <f>HLOOKUP(B19,'FT Combined ARAM Summary'!$A$5:$CJ$14,8,0)</f>
        <v>205.55500016702035</v>
      </c>
      <c r="D19" s="345">
        <f>+G11-($C19/12)-$J$7-$J$9</f>
        <v>24652.110639389448</v>
      </c>
      <c r="E19" s="345">
        <f>+D19-($C19/12)-$J$7-$J$9</f>
        <v>24524.836574414156</v>
      </c>
      <c r="F19" s="345">
        <f t="shared" ref="F19:O19" si="0">+E19-($C19/12)-$J$7-$J$9</f>
        <v>24397.562509438863</v>
      </c>
      <c r="G19" s="345">
        <f t="shared" si="0"/>
        <v>24270.288444463571</v>
      </c>
      <c r="H19" s="345">
        <f t="shared" si="0"/>
        <v>24143.014379488279</v>
      </c>
      <c r="I19" s="345">
        <f t="shared" si="0"/>
        <v>24015.740314512987</v>
      </c>
      <c r="J19" s="345">
        <f t="shared" si="0"/>
        <v>23888.466249537694</v>
      </c>
      <c r="K19" s="345">
        <f t="shared" si="0"/>
        <v>23761.192184562402</v>
      </c>
      <c r="L19" s="345">
        <f t="shared" si="0"/>
        <v>23633.91811958711</v>
      </c>
      <c r="M19" s="345">
        <f t="shared" si="0"/>
        <v>23506.644054611817</v>
      </c>
      <c r="N19" s="345">
        <f t="shared" si="0"/>
        <v>23379.369989636525</v>
      </c>
      <c r="O19" s="345">
        <f t="shared" si="0"/>
        <v>23252.095924661233</v>
      </c>
      <c r="Q19" s="345">
        <f>O19-G11</f>
        <v>-1527.2887797035073</v>
      </c>
      <c r="R19" s="80" t="s">
        <v>1300</v>
      </c>
    </row>
    <row r="20" spans="1:18" x14ac:dyDescent="0.25">
      <c r="A20" s="327">
        <v>2</v>
      </c>
      <c r="B20" s="327">
        <v>2019</v>
      </c>
      <c r="C20" s="344">
        <f>HLOOKUP(B20,'FT Combined ARAM Summary'!$A$5:$CJ$14,8,0)</f>
        <v>241.55643468754738</v>
      </c>
      <c r="D20" s="347">
        <f>+O19-($C20/12)-$J$7-$J$9</f>
        <v>23121.821740142561</v>
      </c>
      <c r="E20" s="347">
        <f t="shared" ref="E20:O28" si="1">+D20-($C20/12)-$J$7-$J$9</f>
        <v>22991.547555623889</v>
      </c>
      <c r="F20" s="347">
        <f t="shared" si="1"/>
        <v>22861.273371105217</v>
      </c>
      <c r="G20" s="347">
        <f t="shared" si="1"/>
        <v>22730.999186586545</v>
      </c>
      <c r="H20" s="347">
        <f t="shared" si="1"/>
        <v>22600.725002067873</v>
      </c>
      <c r="I20" s="347">
        <f t="shared" si="1"/>
        <v>22470.450817549201</v>
      </c>
      <c r="J20" s="347">
        <f t="shared" si="1"/>
        <v>22340.176633030529</v>
      </c>
      <c r="K20" s="347">
        <f t="shared" si="1"/>
        <v>22209.902448511857</v>
      </c>
      <c r="L20" s="347">
        <f t="shared" si="1"/>
        <v>22079.628263993185</v>
      </c>
      <c r="M20" s="347">
        <f t="shared" si="1"/>
        <v>21949.354079474513</v>
      </c>
      <c r="N20" s="347">
        <f t="shared" si="1"/>
        <v>21819.079894955841</v>
      </c>
      <c r="O20" s="347">
        <f t="shared" si="1"/>
        <v>21688.805710437169</v>
      </c>
      <c r="Q20" s="347"/>
    </row>
    <row r="21" spans="1:18" x14ac:dyDescent="0.25">
      <c r="A21" s="327">
        <v>3</v>
      </c>
      <c r="B21" s="327">
        <v>2020</v>
      </c>
      <c r="C21" s="344">
        <f>HLOOKUP(B21,'FT Combined ARAM Summary'!$A$5:$CJ$14,8,0)</f>
        <v>266.94071488070222</v>
      </c>
      <c r="D21" s="347">
        <f>+O20-($C21/12)-$J$7-$J$9</f>
        <v>21556.416169235734</v>
      </c>
      <c r="E21" s="347">
        <f t="shared" si="1"/>
        <v>21424.026628034298</v>
      </c>
      <c r="F21" s="347">
        <f t="shared" si="1"/>
        <v>21291.637086832863</v>
      </c>
      <c r="G21" s="347">
        <f t="shared" si="1"/>
        <v>21159.247545631428</v>
      </c>
      <c r="H21" s="347">
        <f t="shared" si="1"/>
        <v>21026.858004429992</v>
      </c>
      <c r="I21" s="347">
        <f t="shared" si="1"/>
        <v>20894.468463228557</v>
      </c>
      <c r="J21" s="347">
        <f t="shared" si="1"/>
        <v>20762.078922027122</v>
      </c>
      <c r="K21" s="347">
        <f t="shared" si="1"/>
        <v>20629.689380825686</v>
      </c>
      <c r="L21" s="347">
        <f t="shared" si="1"/>
        <v>20497.299839624251</v>
      </c>
      <c r="M21" s="347">
        <f t="shared" si="1"/>
        <v>20364.910298422816</v>
      </c>
      <c r="N21" s="347">
        <f t="shared" si="1"/>
        <v>20232.52075722138</v>
      </c>
      <c r="O21" s="347">
        <f t="shared" si="1"/>
        <v>20100.131216019945</v>
      </c>
      <c r="Q21" s="347"/>
    </row>
    <row r="22" spans="1:18" x14ac:dyDescent="0.25">
      <c r="A22" s="327">
        <v>4</v>
      </c>
      <c r="B22" s="327">
        <v>2021</v>
      </c>
      <c r="C22" s="344">
        <f>HLOOKUP(B22,'FT Combined ARAM Summary'!$A$5:$CJ$14,8,0)</f>
        <v>306.96249593946573</v>
      </c>
      <c r="D22" s="347">
        <f t="shared" ref="D22:D28" si="2">+O21-($C22/12)-$J$7-$J$9</f>
        <v>19964.406526396946</v>
      </c>
      <c r="E22" s="347">
        <f t="shared" si="1"/>
        <v>19828.681836773947</v>
      </c>
      <c r="F22" s="347">
        <f t="shared" si="1"/>
        <v>19692.957147150948</v>
      </c>
      <c r="G22" s="347">
        <f t="shared" si="1"/>
        <v>19557.232457527949</v>
      </c>
      <c r="H22" s="347">
        <f t="shared" si="1"/>
        <v>19421.50776790495</v>
      </c>
      <c r="I22" s="347">
        <f t="shared" si="1"/>
        <v>19285.783078281951</v>
      </c>
      <c r="J22" s="347">
        <f t="shared" si="1"/>
        <v>19150.058388658952</v>
      </c>
      <c r="K22" s="347">
        <f t="shared" si="1"/>
        <v>19014.333699035953</v>
      </c>
      <c r="L22" s="347">
        <f t="shared" si="1"/>
        <v>18878.609009412954</v>
      </c>
      <c r="M22" s="347">
        <f t="shared" si="1"/>
        <v>18742.884319789955</v>
      </c>
      <c r="N22" s="347">
        <f t="shared" si="1"/>
        <v>18607.159630166956</v>
      </c>
      <c r="O22" s="347">
        <f t="shared" si="1"/>
        <v>18471.434940543957</v>
      </c>
    </row>
    <row r="23" spans="1:18" s="44" customFormat="1" x14ac:dyDescent="0.25">
      <c r="A23" s="44">
        <v>5</v>
      </c>
      <c r="B23" s="44">
        <v>2022</v>
      </c>
      <c r="C23" s="344">
        <f>HLOOKUP(B23,'FT Combined ARAM Summary'!$A$5:$CJ$14,8,0)</f>
        <v>335.47711492021926</v>
      </c>
      <c r="D23" s="339">
        <f t="shared" si="2"/>
        <v>18333.334032672563</v>
      </c>
      <c r="E23" s="339">
        <f t="shared" si="1"/>
        <v>18195.233124801169</v>
      </c>
      <c r="F23" s="339">
        <f t="shared" si="1"/>
        <v>18057.132216929775</v>
      </c>
      <c r="G23" s="339">
        <f t="shared" si="1"/>
        <v>17919.03130905838</v>
      </c>
      <c r="H23" s="339">
        <f t="shared" si="1"/>
        <v>17780.930401186986</v>
      </c>
      <c r="I23" s="339">
        <f t="shared" si="1"/>
        <v>17642.829493315592</v>
      </c>
      <c r="J23" s="339">
        <f t="shared" si="1"/>
        <v>17504.728585444198</v>
      </c>
      <c r="K23" s="339">
        <f t="shared" si="1"/>
        <v>17366.627677572804</v>
      </c>
      <c r="L23" s="339">
        <f t="shared" si="1"/>
        <v>17228.52676970141</v>
      </c>
      <c r="M23" s="339">
        <f t="shared" si="1"/>
        <v>17090.425861830015</v>
      </c>
      <c r="N23" s="339">
        <f t="shared" si="1"/>
        <v>16952.324953958621</v>
      </c>
      <c r="O23" s="339">
        <f t="shared" si="1"/>
        <v>16814.224046087227</v>
      </c>
    </row>
    <row r="24" spans="1:18" x14ac:dyDescent="0.25">
      <c r="A24" s="327">
        <v>6</v>
      </c>
      <c r="B24" s="327">
        <v>2023</v>
      </c>
      <c r="C24" s="344">
        <f>HLOOKUP(B24,'FT Combined ARAM Summary'!$A$5:$CJ$14,8,0)</f>
        <v>357.93562303765748</v>
      </c>
      <c r="D24" s="339">
        <f t="shared" si="2"/>
        <v>16674.251595872713</v>
      </c>
      <c r="E24" s="339">
        <f t="shared" si="1"/>
        <v>16534.279145658198</v>
      </c>
      <c r="F24" s="339">
        <f t="shared" si="1"/>
        <v>16394.306695443684</v>
      </c>
      <c r="G24" s="339">
        <f t="shared" si="1"/>
        <v>16254.334245229174</v>
      </c>
      <c r="H24" s="339">
        <f t="shared" si="1"/>
        <v>16114.361795014664</v>
      </c>
      <c r="I24" s="339">
        <f t="shared" si="1"/>
        <v>15974.389344800153</v>
      </c>
      <c r="J24" s="339">
        <f t="shared" si="1"/>
        <v>15834.416894585642</v>
      </c>
      <c r="K24" s="339">
        <f t="shared" si="1"/>
        <v>15694.444444371131</v>
      </c>
      <c r="L24" s="339">
        <f t="shared" si="1"/>
        <v>15554.47199415662</v>
      </c>
      <c r="M24" s="339">
        <f t="shared" si="1"/>
        <v>15414.499543942109</v>
      </c>
      <c r="N24" s="339">
        <f t="shared" si="1"/>
        <v>15274.527093727598</v>
      </c>
      <c r="O24" s="339">
        <f t="shared" si="1"/>
        <v>15134.554643513087</v>
      </c>
    </row>
    <row r="25" spans="1:18" x14ac:dyDescent="0.25">
      <c r="A25" s="327">
        <v>7</v>
      </c>
      <c r="B25" s="327">
        <v>2024</v>
      </c>
      <c r="C25" s="344">
        <f>HLOOKUP(B25,'FT Combined ARAM Summary'!$A$5:$CJ$14,8,0)</f>
        <v>363.40452494593387</v>
      </c>
      <c r="D25" s="339">
        <f t="shared" si="2"/>
        <v>14994.126451472886</v>
      </c>
      <c r="E25" s="339">
        <f t="shared" si="1"/>
        <v>14853.698259432686</v>
      </c>
      <c r="F25" s="339">
        <f t="shared" si="1"/>
        <v>14713.270067392485</v>
      </c>
      <c r="G25" s="339">
        <f t="shared" si="1"/>
        <v>14572.841875352284</v>
      </c>
      <c r="H25" s="339">
        <f t="shared" si="1"/>
        <v>14432.413683312083</v>
      </c>
      <c r="I25" s="339">
        <f t="shared" si="1"/>
        <v>14291.985491271882</v>
      </c>
      <c r="J25" s="339">
        <f t="shared" si="1"/>
        <v>14151.557299231681</v>
      </c>
      <c r="K25" s="339">
        <f t="shared" si="1"/>
        <v>14011.12910719148</v>
      </c>
      <c r="L25" s="339">
        <f t="shared" si="1"/>
        <v>13870.700915151279</v>
      </c>
      <c r="M25" s="339">
        <f t="shared" si="1"/>
        <v>13730.272723111078</v>
      </c>
      <c r="N25" s="339">
        <f t="shared" si="1"/>
        <v>13589.844531070878</v>
      </c>
      <c r="O25" s="339">
        <f t="shared" si="1"/>
        <v>13449.416339030677</v>
      </c>
    </row>
    <row r="26" spans="1:18" x14ac:dyDescent="0.25">
      <c r="A26" s="327">
        <v>8</v>
      </c>
      <c r="B26" s="327">
        <v>2025</v>
      </c>
      <c r="C26" s="344">
        <f>HLOOKUP(B26,'FT Combined ARAM Summary'!$A$5:$CJ$14,8,0)</f>
        <v>363.27865194593392</v>
      </c>
      <c r="D26" s="339">
        <f t="shared" si="2"/>
        <v>13308.998636407143</v>
      </c>
      <c r="E26" s="339">
        <f t="shared" si="1"/>
        <v>13168.580933783609</v>
      </c>
      <c r="F26" s="339">
        <f t="shared" si="1"/>
        <v>13028.163231160075</v>
      </c>
      <c r="G26" s="339">
        <f t="shared" si="1"/>
        <v>12887.745528536541</v>
      </c>
      <c r="H26" s="339">
        <f t="shared" si="1"/>
        <v>12747.327825913007</v>
      </c>
      <c r="I26" s="339">
        <f t="shared" si="1"/>
        <v>12606.910123289474</v>
      </c>
      <c r="J26" s="339">
        <f t="shared" si="1"/>
        <v>12466.49242066594</v>
      </c>
      <c r="K26" s="339">
        <f t="shared" si="1"/>
        <v>12326.074718042406</v>
      </c>
      <c r="L26" s="339">
        <f t="shared" si="1"/>
        <v>12185.657015418872</v>
      </c>
      <c r="M26" s="339">
        <f t="shared" si="1"/>
        <v>12045.239312795338</v>
      </c>
      <c r="N26" s="339">
        <f t="shared" si="1"/>
        <v>11904.821610171804</v>
      </c>
      <c r="O26" s="339">
        <f t="shared" si="1"/>
        <v>11764.403907548271</v>
      </c>
    </row>
    <row r="27" spans="1:18" x14ac:dyDescent="0.25">
      <c r="A27" s="327">
        <v>9</v>
      </c>
      <c r="B27" s="327">
        <v>2026</v>
      </c>
      <c r="C27" s="344">
        <f>HLOOKUP(B27,'FT Combined ARAM Summary'!$A$5:$CJ$14,8,0)</f>
        <v>363.27735491088492</v>
      </c>
      <c r="D27" s="339">
        <f t="shared" si="2"/>
        <v>11623.98631301099</v>
      </c>
      <c r="E27" s="339">
        <f t="shared" si="1"/>
        <v>11483.568718473709</v>
      </c>
      <c r="F27" s="339">
        <f t="shared" si="1"/>
        <v>11343.151123936428</v>
      </c>
      <c r="G27" s="339">
        <f t="shared" si="1"/>
        <v>11202.733529399147</v>
      </c>
      <c r="H27" s="339">
        <f t="shared" si="1"/>
        <v>11062.315934861866</v>
      </c>
      <c r="I27" s="339">
        <f t="shared" si="1"/>
        <v>10921.898340324586</v>
      </c>
      <c r="J27" s="339">
        <f t="shared" si="1"/>
        <v>10781.480745787305</v>
      </c>
      <c r="K27" s="339">
        <f t="shared" si="1"/>
        <v>10641.063151250024</v>
      </c>
      <c r="L27" s="339">
        <f t="shared" si="1"/>
        <v>10500.645556712743</v>
      </c>
      <c r="M27" s="339">
        <f t="shared" si="1"/>
        <v>10360.227962175462</v>
      </c>
      <c r="N27" s="339">
        <f t="shared" si="1"/>
        <v>10219.810367638182</v>
      </c>
      <c r="O27" s="339">
        <f t="shared" si="1"/>
        <v>10079.392773100901</v>
      </c>
    </row>
    <row r="28" spans="1:18" ht="15.75" thickBot="1" x14ac:dyDescent="0.3">
      <c r="A28" s="348">
        <v>10</v>
      </c>
      <c r="B28" s="348">
        <v>2027</v>
      </c>
      <c r="C28" s="344">
        <f>HLOOKUP(B28,'FT Combined ARAM Summary'!$A$5:$CJ$14,8,0)</f>
        <v>363.27863896345821</v>
      </c>
      <c r="D28" s="350">
        <f t="shared" si="2"/>
        <v>9938.97507155924</v>
      </c>
      <c r="E28" s="350">
        <f t="shared" si="1"/>
        <v>9798.5573700175792</v>
      </c>
      <c r="F28" s="350">
        <f t="shared" si="1"/>
        <v>9658.1396684759184</v>
      </c>
      <c r="G28" s="350">
        <f t="shared" si="1"/>
        <v>9517.7219669342576</v>
      </c>
      <c r="H28" s="350">
        <f t="shared" si="1"/>
        <v>9377.3042653925968</v>
      </c>
      <c r="I28" s="350">
        <f t="shared" si="1"/>
        <v>9236.886563850936</v>
      </c>
      <c r="J28" s="350">
        <f t="shared" si="1"/>
        <v>9096.4688623092752</v>
      </c>
      <c r="K28" s="350">
        <f t="shared" si="1"/>
        <v>8956.0511607676144</v>
      </c>
      <c r="L28" s="350">
        <f t="shared" si="1"/>
        <v>8815.6334592259536</v>
      </c>
      <c r="M28" s="350">
        <f t="shared" si="1"/>
        <v>8675.2157576842928</v>
      </c>
      <c r="N28" s="350">
        <f t="shared" si="1"/>
        <v>8534.798056142632</v>
      </c>
      <c r="O28" s="350">
        <f t="shared" si="1"/>
        <v>8394.3803546009713</v>
      </c>
    </row>
    <row r="29" spans="1:18" x14ac:dyDescent="0.25">
      <c r="A29" s="327">
        <v>11</v>
      </c>
      <c r="B29" s="327">
        <v>2028</v>
      </c>
      <c r="C29" s="344">
        <f>HLOOKUP(B29,'FT Combined ARAM Summary'!$A$5:$CJ$14,8,0)</f>
        <v>363.28000091088506</v>
      </c>
      <c r="D29" s="347">
        <f>+O28-($C29/12)</f>
        <v>8364.1070211917304</v>
      </c>
      <c r="E29" s="339">
        <f>+D29-($C29/12)</f>
        <v>8333.8336877824895</v>
      </c>
      <c r="F29" s="339">
        <f>+E29-($C29/12)</f>
        <v>8303.5603543732486</v>
      </c>
      <c r="G29" s="339">
        <f>+F29-($C29/12)</f>
        <v>8273.2870209640078</v>
      </c>
      <c r="H29" s="339">
        <f t="shared" ref="H29:O29" si="3">+G29-($C29/12)</f>
        <v>8243.0136875547669</v>
      </c>
      <c r="I29" s="339">
        <f t="shared" si="3"/>
        <v>8212.740354145526</v>
      </c>
      <c r="J29" s="339">
        <f t="shared" si="3"/>
        <v>8182.4670207362851</v>
      </c>
      <c r="K29" s="339">
        <f t="shared" si="3"/>
        <v>8152.1936873270442</v>
      </c>
      <c r="L29" s="339">
        <f t="shared" si="3"/>
        <v>8121.9203539178034</v>
      </c>
      <c r="M29" s="339">
        <f t="shared" si="3"/>
        <v>8091.6470205085625</v>
      </c>
      <c r="N29" s="339">
        <f t="shared" si="3"/>
        <v>8061.3736870993216</v>
      </c>
      <c r="O29" s="339">
        <f t="shared" si="3"/>
        <v>8031.1003536900807</v>
      </c>
    </row>
    <row r="30" spans="1:18" x14ac:dyDescent="0.25">
      <c r="A30" s="327">
        <v>12</v>
      </c>
      <c r="B30" s="327">
        <v>2029</v>
      </c>
      <c r="C30" s="344">
        <f>HLOOKUP(B30,'FT Combined ARAM Summary'!$A$5:$CJ$14,8,0)</f>
        <v>533.10074604737656</v>
      </c>
      <c r="D30" s="347">
        <f t="shared" ref="D30:D93" si="4">+O29-($C30/12)</f>
        <v>7986.6752915194656</v>
      </c>
      <c r="E30" s="339">
        <f t="shared" ref="E30:O45" si="5">+D30-($C30/12)</f>
        <v>7942.2502293488506</v>
      </c>
      <c r="F30" s="339">
        <f t="shared" si="5"/>
        <v>7897.8251671782355</v>
      </c>
      <c r="G30" s="339">
        <f t="shared" si="5"/>
        <v>7853.4001050076204</v>
      </c>
      <c r="H30" s="339">
        <f t="shared" si="5"/>
        <v>7808.9750428370053</v>
      </c>
      <c r="I30" s="339">
        <f t="shared" si="5"/>
        <v>7764.5499806663902</v>
      </c>
      <c r="J30" s="339">
        <f t="shared" si="5"/>
        <v>7720.1249184957751</v>
      </c>
      <c r="K30" s="339">
        <f t="shared" si="5"/>
        <v>7675.69985632516</v>
      </c>
      <c r="L30" s="339">
        <f t="shared" si="5"/>
        <v>7631.2747941545449</v>
      </c>
      <c r="M30" s="339">
        <f t="shared" si="5"/>
        <v>7586.8497319839298</v>
      </c>
      <c r="N30" s="339">
        <f t="shared" si="5"/>
        <v>7542.4246698133147</v>
      </c>
      <c r="O30" s="339">
        <f t="shared" si="5"/>
        <v>7497.9996076426996</v>
      </c>
    </row>
    <row r="31" spans="1:18" x14ac:dyDescent="0.25">
      <c r="A31" s="327">
        <v>13</v>
      </c>
      <c r="B31" s="327">
        <v>2030</v>
      </c>
      <c r="C31" s="344">
        <f>HLOOKUP(B31,'FT Combined ARAM Summary'!$A$5:$CJ$14,8,0)</f>
        <v>466.09874641996771</v>
      </c>
      <c r="D31" s="347">
        <f t="shared" si="4"/>
        <v>7459.1580454410359</v>
      </c>
      <c r="E31" s="339">
        <f t="shared" si="5"/>
        <v>7420.3164832393722</v>
      </c>
      <c r="F31" s="339">
        <f t="shared" si="5"/>
        <v>7381.4749210377086</v>
      </c>
      <c r="G31" s="339">
        <f t="shared" si="5"/>
        <v>7342.6333588360449</v>
      </c>
      <c r="H31" s="339">
        <f t="shared" si="5"/>
        <v>7303.7917966343812</v>
      </c>
      <c r="I31" s="339">
        <f t="shared" si="5"/>
        <v>7264.9502344327175</v>
      </c>
      <c r="J31" s="339">
        <f t="shared" si="5"/>
        <v>7226.1086722310538</v>
      </c>
      <c r="K31" s="339">
        <f t="shared" si="5"/>
        <v>7187.2671100293901</v>
      </c>
      <c r="L31" s="339">
        <f t="shared" si="5"/>
        <v>7148.4255478277264</v>
      </c>
      <c r="M31" s="339">
        <f t="shared" si="5"/>
        <v>7109.5839856260627</v>
      </c>
      <c r="N31" s="339">
        <f t="shared" si="5"/>
        <v>7070.742423424399</v>
      </c>
      <c r="O31" s="339">
        <f t="shared" si="5"/>
        <v>7031.9008612227353</v>
      </c>
    </row>
    <row r="32" spans="1:18" x14ac:dyDescent="0.25">
      <c r="A32" s="327">
        <v>14</v>
      </c>
      <c r="B32" s="327">
        <v>2031</v>
      </c>
      <c r="C32" s="344">
        <f>HLOOKUP(B32,'FT Combined ARAM Summary'!$A$5:$CJ$14,8,0)</f>
        <v>275.31318676402213</v>
      </c>
      <c r="D32" s="347">
        <f t="shared" si="4"/>
        <v>7008.9580956590671</v>
      </c>
      <c r="E32" s="339">
        <f t="shared" si="5"/>
        <v>6986.0153300953989</v>
      </c>
      <c r="F32" s="339">
        <f t="shared" si="5"/>
        <v>6963.0725645317307</v>
      </c>
      <c r="G32" s="339">
        <f t="shared" si="5"/>
        <v>6940.1297989680625</v>
      </c>
      <c r="H32" s="339">
        <f t="shared" si="5"/>
        <v>6917.1870334043942</v>
      </c>
      <c r="I32" s="339">
        <f t="shared" si="5"/>
        <v>6894.244267840726</v>
      </c>
      <c r="J32" s="339">
        <f t="shared" si="5"/>
        <v>6871.3015022770578</v>
      </c>
      <c r="K32" s="339">
        <f t="shared" si="5"/>
        <v>6848.3587367133896</v>
      </c>
      <c r="L32" s="339">
        <f t="shared" si="5"/>
        <v>6825.4159711497214</v>
      </c>
      <c r="M32" s="339">
        <f t="shared" si="5"/>
        <v>6802.4732055860532</v>
      </c>
      <c r="N32" s="339">
        <f t="shared" si="5"/>
        <v>6779.5304400223849</v>
      </c>
      <c r="O32" s="339">
        <f t="shared" si="5"/>
        <v>6756.5876744587167</v>
      </c>
    </row>
    <row r="33" spans="1:15" x14ac:dyDescent="0.25">
      <c r="A33" s="327">
        <v>15</v>
      </c>
      <c r="B33" s="327">
        <v>2032</v>
      </c>
      <c r="C33" s="344">
        <f>HLOOKUP(B33,'FT Combined ARAM Summary'!$A$5:$CJ$14,8,0)</f>
        <v>190.51652091523704</v>
      </c>
      <c r="D33" s="347">
        <f t="shared" si="4"/>
        <v>6740.7112977157803</v>
      </c>
      <c r="E33" s="339">
        <f t="shared" si="5"/>
        <v>6724.834920972844</v>
      </c>
      <c r="F33" s="339">
        <f t="shared" si="5"/>
        <v>6708.9585442299076</v>
      </c>
      <c r="G33" s="339">
        <f t="shared" si="5"/>
        <v>6693.0821674869712</v>
      </c>
      <c r="H33" s="339">
        <f t="shared" si="5"/>
        <v>6677.2057907440349</v>
      </c>
      <c r="I33" s="339">
        <f t="shared" si="5"/>
        <v>6661.3294140010985</v>
      </c>
      <c r="J33" s="339">
        <f t="shared" si="5"/>
        <v>6645.4530372581621</v>
      </c>
      <c r="K33" s="339">
        <f t="shared" si="5"/>
        <v>6629.5766605152257</v>
      </c>
      <c r="L33" s="339">
        <f t="shared" si="5"/>
        <v>6613.7002837722894</v>
      </c>
      <c r="M33" s="339">
        <f t="shared" si="5"/>
        <v>6597.823907029353</v>
      </c>
      <c r="N33" s="339">
        <f t="shared" si="5"/>
        <v>6581.9475302864166</v>
      </c>
      <c r="O33" s="339">
        <f t="shared" si="5"/>
        <v>6566.0711535434802</v>
      </c>
    </row>
    <row r="34" spans="1:15" x14ac:dyDescent="0.25">
      <c r="A34" s="327">
        <v>16</v>
      </c>
      <c r="B34" s="327">
        <v>2033</v>
      </c>
      <c r="C34" s="344">
        <f>HLOOKUP(B34,'FT Combined ARAM Summary'!$A$5:$CJ$14,8,0)</f>
        <v>190.51920478237025</v>
      </c>
      <c r="D34" s="347">
        <f t="shared" si="4"/>
        <v>6550.1945531449492</v>
      </c>
      <c r="E34" s="339">
        <f t="shared" si="5"/>
        <v>6534.3179527464181</v>
      </c>
      <c r="F34" s="339">
        <f t="shared" si="5"/>
        <v>6518.441352347887</v>
      </c>
      <c r="G34" s="339">
        <f t="shared" si="5"/>
        <v>6502.5647519493559</v>
      </c>
      <c r="H34" s="339">
        <f t="shared" si="5"/>
        <v>6486.6881515508248</v>
      </c>
      <c r="I34" s="339">
        <f t="shared" si="5"/>
        <v>6470.8115511522938</v>
      </c>
      <c r="J34" s="339">
        <f t="shared" si="5"/>
        <v>6454.9349507537627</v>
      </c>
      <c r="K34" s="339">
        <f t="shared" si="5"/>
        <v>6439.0583503552316</v>
      </c>
      <c r="L34" s="339">
        <f t="shared" si="5"/>
        <v>6423.1817499567005</v>
      </c>
      <c r="M34" s="339">
        <f t="shared" si="5"/>
        <v>6407.3051495581694</v>
      </c>
      <c r="N34" s="339">
        <f t="shared" si="5"/>
        <v>6391.4285491596384</v>
      </c>
      <c r="O34" s="339">
        <f t="shared" si="5"/>
        <v>6375.5519487611073</v>
      </c>
    </row>
    <row r="35" spans="1:15" x14ac:dyDescent="0.25">
      <c r="A35" s="327">
        <v>17</v>
      </c>
      <c r="B35" s="327">
        <v>2034</v>
      </c>
      <c r="C35" s="344">
        <f>HLOOKUP(B35,'FT Combined ARAM Summary'!$A$5:$CJ$14,8,0)</f>
        <v>258.31552367886241</v>
      </c>
      <c r="D35" s="347">
        <f t="shared" si="4"/>
        <v>6354.0256551212024</v>
      </c>
      <c r="E35" s="339">
        <f t="shared" si="5"/>
        <v>6332.4993614812975</v>
      </c>
      <c r="F35" s="339">
        <f t="shared" si="5"/>
        <v>6310.9730678413925</v>
      </c>
      <c r="G35" s="339">
        <f t="shared" si="5"/>
        <v>6289.4467742014876</v>
      </c>
      <c r="H35" s="339">
        <f t="shared" si="5"/>
        <v>6267.9204805615827</v>
      </c>
      <c r="I35" s="339">
        <f t="shared" si="5"/>
        <v>6246.3941869216778</v>
      </c>
      <c r="J35" s="339">
        <f t="shared" si="5"/>
        <v>6224.8678932817729</v>
      </c>
      <c r="K35" s="339">
        <f t="shared" si="5"/>
        <v>6203.341599641868</v>
      </c>
      <c r="L35" s="339">
        <f t="shared" si="5"/>
        <v>6181.8153060019631</v>
      </c>
      <c r="M35" s="339">
        <f t="shared" si="5"/>
        <v>6160.2890123620582</v>
      </c>
      <c r="N35" s="339">
        <f t="shared" si="5"/>
        <v>6138.7627187221533</v>
      </c>
      <c r="O35" s="339">
        <f t="shared" si="5"/>
        <v>6117.2364250822484</v>
      </c>
    </row>
    <row r="36" spans="1:15" x14ac:dyDescent="0.25">
      <c r="A36" s="327">
        <v>18</v>
      </c>
      <c r="B36" s="327">
        <v>2035</v>
      </c>
      <c r="C36" s="344">
        <f>HLOOKUP(B36,'FT Combined ARAM Summary'!$A$5:$CJ$14,8,0)</f>
        <v>340.78502982347572</v>
      </c>
      <c r="D36" s="347">
        <f t="shared" si="4"/>
        <v>6088.8376725969583</v>
      </c>
      <c r="E36" s="339">
        <f t="shared" si="5"/>
        <v>6060.4389201116683</v>
      </c>
      <c r="F36" s="339">
        <f t="shared" si="5"/>
        <v>6032.0401676263782</v>
      </c>
      <c r="G36" s="339">
        <f t="shared" si="5"/>
        <v>6003.6414151410881</v>
      </c>
      <c r="H36" s="339">
        <f t="shared" si="5"/>
        <v>5975.2426626557981</v>
      </c>
      <c r="I36" s="339">
        <f t="shared" si="5"/>
        <v>5946.843910170508</v>
      </c>
      <c r="J36" s="339">
        <f t="shared" si="5"/>
        <v>5918.445157685218</v>
      </c>
      <c r="K36" s="339">
        <f t="shared" si="5"/>
        <v>5890.0464051999279</v>
      </c>
      <c r="L36" s="339">
        <f t="shared" si="5"/>
        <v>5861.6476527146378</v>
      </c>
      <c r="M36" s="339">
        <f t="shared" si="5"/>
        <v>5833.2489002293478</v>
      </c>
      <c r="N36" s="339">
        <f t="shared" si="5"/>
        <v>5804.8501477440577</v>
      </c>
      <c r="O36" s="339">
        <f t="shared" si="5"/>
        <v>5776.4513952587677</v>
      </c>
    </row>
    <row r="37" spans="1:15" x14ac:dyDescent="0.25">
      <c r="A37" s="327">
        <v>19</v>
      </c>
      <c r="B37" s="327">
        <v>2036</v>
      </c>
      <c r="C37" s="344">
        <f>HLOOKUP(B37,'FT Combined ARAM Summary'!$A$5:$CJ$14,8,0)</f>
        <v>466.87295434043676</v>
      </c>
      <c r="D37" s="347">
        <f t="shared" si="4"/>
        <v>5737.5453157303982</v>
      </c>
      <c r="E37" s="339">
        <f t="shared" si="5"/>
        <v>5698.6392362020288</v>
      </c>
      <c r="F37" s="339">
        <f t="shared" si="5"/>
        <v>5659.7331566736593</v>
      </c>
      <c r="G37" s="339">
        <f t="shared" si="5"/>
        <v>5620.8270771452899</v>
      </c>
      <c r="H37" s="339">
        <f t="shared" si="5"/>
        <v>5581.9209976169204</v>
      </c>
      <c r="I37" s="339">
        <f t="shared" si="5"/>
        <v>5543.014918088551</v>
      </c>
      <c r="J37" s="339">
        <f t="shared" si="5"/>
        <v>5504.1088385601815</v>
      </c>
      <c r="K37" s="339">
        <f t="shared" si="5"/>
        <v>5465.2027590318121</v>
      </c>
      <c r="L37" s="339">
        <f t="shared" si="5"/>
        <v>5426.2966795034426</v>
      </c>
      <c r="M37" s="339">
        <f t="shared" si="5"/>
        <v>5387.3905999750732</v>
      </c>
      <c r="N37" s="339">
        <f t="shared" si="5"/>
        <v>5348.4845204467038</v>
      </c>
      <c r="O37" s="339">
        <f t="shared" si="5"/>
        <v>5309.5784409183343</v>
      </c>
    </row>
    <row r="38" spans="1:15" x14ac:dyDescent="0.25">
      <c r="A38" s="327">
        <v>20</v>
      </c>
      <c r="B38" s="327">
        <v>2037</v>
      </c>
      <c r="C38" s="344">
        <f>HLOOKUP(B38,'FT Combined ARAM Summary'!$A$5:$CJ$14,8,0)</f>
        <v>554.70780478980805</v>
      </c>
      <c r="D38" s="347">
        <f t="shared" si="4"/>
        <v>5263.3527905191841</v>
      </c>
      <c r="E38" s="339">
        <f t="shared" si="5"/>
        <v>5217.1271401200338</v>
      </c>
      <c r="F38" s="339">
        <f t="shared" si="5"/>
        <v>5170.9014897208835</v>
      </c>
      <c r="G38" s="339">
        <f t="shared" si="5"/>
        <v>5124.6758393217333</v>
      </c>
      <c r="H38" s="339">
        <f t="shared" si="5"/>
        <v>5078.450188922583</v>
      </c>
      <c r="I38" s="339">
        <f t="shared" si="5"/>
        <v>5032.2245385234328</v>
      </c>
      <c r="J38" s="339">
        <f t="shared" si="5"/>
        <v>4985.9988881242825</v>
      </c>
      <c r="K38" s="339">
        <f t="shared" si="5"/>
        <v>4939.7732377251323</v>
      </c>
      <c r="L38" s="339">
        <f t="shared" si="5"/>
        <v>4893.547587325982</v>
      </c>
      <c r="M38" s="339">
        <f t="shared" si="5"/>
        <v>4847.3219369268318</v>
      </c>
      <c r="N38" s="339">
        <f t="shared" si="5"/>
        <v>4801.0962865276815</v>
      </c>
      <c r="O38" s="339">
        <f t="shared" si="5"/>
        <v>4754.8706361285313</v>
      </c>
    </row>
    <row r="39" spans="1:15" x14ac:dyDescent="0.25">
      <c r="A39" s="327">
        <v>21</v>
      </c>
      <c r="B39" s="327">
        <v>2038</v>
      </c>
      <c r="C39" s="344">
        <f>HLOOKUP(B39,'FT Combined ARAM Summary'!$A$5:$CJ$14,8,0)</f>
        <v>558.23169619944201</v>
      </c>
      <c r="D39" s="347">
        <f t="shared" si="4"/>
        <v>4708.3513281119112</v>
      </c>
      <c r="E39" s="339">
        <f t="shared" si="5"/>
        <v>4661.8320200952912</v>
      </c>
      <c r="F39" s="339">
        <f t="shared" si="5"/>
        <v>4615.3127120786712</v>
      </c>
      <c r="G39" s="339">
        <f t="shared" si="5"/>
        <v>4568.7934040620512</v>
      </c>
      <c r="H39" s="339">
        <f t="shared" si="5"/>
        <v>4522.2740960454312</v>
      </c>
      <c r="I39" s="339">
        <f t="shared" si="5"/>
        <v>4475.7547880288112</v>
      </c>
      <c r="J39" s="339">
        <f t="shared" si="5"/>
        <v>4429.2354800121911</v>
      </c>
      <c r="K39" s="339">
        <f t="shared" si="5"/>
        <v>4382.7161719955711</v>
      </c>
      <c r="L39" s="339">
        <f t="shared" si="5"/>
        <v>4336.1968639789511</v>
      </c>
      <c r="M39" s="339">
        <f t="shared" si="5"/>
        <v>4289.6775559623311</v>
      </c>
      <c r="N39" s="339">
        <f t="shared" si="5"/>
        <v>4243.1582479457111</v>
      </c>
      <c r="O39" s="339">
        <f t="shared" si="5"/>
        <v>4196.6389399290911</v>
      </c>
    </row>
    <row r="40" spans="1:15" x14ac:dyDescent="0.25">
      <c r="A40" s="327">
        <v>22</v>
      </c>
      <c r="B40" s="327">
        <v>2039</v>
      </c>
      <c r="C40" s="344">
        <f>HLOOKUP(B40,'FT Combined ARAM Summary'!$A$5:$CJ$14,8,0)</f>
        <v>558.23169619944201</v>
      </c>
      <c r="D40" s="347">
        <f t="shared" si="4"/>
        <v>4150.119631912471</v>
      </c>
      <c r="E40" s="339">
        <f t="shared" si="5"/>
        <v>4103.600323895851</v>
      </c>
      <c r="F40" s="339">
        <f t="shared" si="5"/>
        <v>4057.081015879231</v>
      </c>
      <c r="G40" s="339">
        <f t="shared" si="5"/>
        <v>4010.561707862611</v>
      </c>
      <c r="H40" s="339">
        <f t="shared" si="5"/>
        <v>3964.042399845991</v>
      </c>
      <c r="I40" s="339">
        <f t="shared" si="5"/>
        <v>3917.523091829371</v>
      </c>
      <c r="J40" s="339">
        <f t="shared" si="5"/>
        <v>3871.003783812751</v>
      </c>
      <c r="K40" s="339">
        <f t="shared" si="5"/>
        <v>3824.4844757961309</v>
      </c>
      <c r="L40" s="339">
        <f t="shared" si="5"/>
        <v>3777.9651677795109</v>
      </c>
      <c r="M40" s="339">
        <f t="shared" si="5"/>
        <v>3731.4458597628909</v>
      </c>
      <c r="N40" s="339">
        <f t="shared" si="5"/>
        <v>3684.9265517462709</v>
      </c>
      <c r="O40" s="339">
        <f t="shared" si="5"/>
        <v>3638.4072437296509</v>
      </c>
    </row>
    <row r="41" spans="1:15" x14ac:dyDescent="0.25">
      <c r="A41" s="327">
        <v>23</v>
      </c>
      <c r="B41" s="327">
        <v>2040</v>
      </c>
      <c r="C41" s="344">
        <f>HLOOKUP(B41,'FT Combined ARAM Summary'!$A$5:$CJ$14,8,0)</f>
        <v>558.23169619944247</v>
      </c>
      <c r="D41" s="347">
        <f t="shared" si="4"/>
        <v>3591.8879357130309</v>
      </c>
      <c r="E41" s="339">
        <f t="shared" si="5"/>
        <v>3545.3686276964108</v>
      </c>
      <c r="F41" s="339">
        <f t="shared" si="5"/>
        <v>3498.8493196797908</v>
      </c>
      <c r="G41" s="339">
        <f t="shared" si="5"/>
        <v>3452.3300116631708</v>
      </c>
      <c r="H41" s="339">
        <f t="shared" si="5"/>
        <v>3405.8107036465508</v>
      </c>
      <c r="I41" s="339">
        <f t="shared" si="5"/>
        <v>3359.2913956299308</v>
      </c>
      <c r="J41" s="339">
        <f t="shared" si="5"/>
        <v>3312.7720876133108</v>
      </c>
      <c r="K41" s="339">
        <f t="shared" si="5"/>
        <v>3266.2527795966907</v>
      </c>
      <c r="L41" s="339">
        <f t="shared" si="5"/>
        <v>3219.7334715800707</v>
      </c>
      <c r="M41" s="339">
        <f t="shared" si="5"/>
        <v>3173.2141635634507</v>
      </c>
      <c r="N41" s="339">
        <f t="shared" si="5"/>
        <v>3126.6948555468307</v>
      </c>
      <c r="O41" s="339">
        <f t="shared" si="5"/>
        <v>3080.1755475302107</v>
      </c>
    </row>
    <row r="42" spans="1:15" x14ac:dyDescent="0.25">
      <c r="A42" s="327">
        <v>24</v>
      </c>
      <c r="B42" s="327">
        <v>2041</v>
      </c>
      <c r="C42" s="344">
        <f>HLOOKUP(B42,'FT Combined ARAM Summary'!$A$5:$CJ$14,8,0)</f>
        <v>558.23169619944201</v>
      </c>
      <c r="D42" s="347">
        <f t="shared" si="4"/>
        <v>3033.6562395135907</v>
      </c>
      <c r="E42" s="339">
        <f t="shared" si="5"/>
        <v>2987.1369314969706</v>
      </c>
      <c r="F42" s="339">
        <f t="shared" si="5"/>
        <v>2940.6176234803506</v>
      </c>
      <c r="G42" s="339">
        <f t="shared" si="5"/>
        <v>2894.0983154637306</v>
      </c>
      <c r="H42" s="339">
        <f t="shared" si="5"/>
        <v>2847.5790074471106</v>
      </c>
      <c r="I42" s="339">
        <f t="shared" si="5"/>
        <v>2801.0596994304906</v>
      </c>
      <c r="J42" s="339">
        <f t="shared" si="5"/>
        <v>2754.5403914138706</v>
      </c>
      <c r="K42" s="339">
        <f t="shared" si="5"/>
        <v>2708.0210833972505</v>
      </c>
      <c r="L42" s="339">
        <f t="shared" si="5"/>
        <v>2661.5017753806305</v>
      </c>
      <c r="M42" s="339">
        <f t="shared" si="5"/>
        <v>2614.9824673640105</v>
      </c>
      <c r="N42" s="339">
        <f t="shared" si="5"/>
        <v>2568.4631593473905</v>
      </c>
      <c r="O42" s="339">
        <f t="shared" si="5"/>
        <v>2521.9438513307705</v>
      </c>
    </row>
    <row r="43" spans="1:15" x14ac:dyDescent="0.25">
      <c r="A43" s="327">
        <v>25</v>
      </c>
      <c r="B43" s="327">
        <v>2042</v>
      </c>
      <c r="C43" s="344">
        <f>HLOOKUP(B43,'FT Combined ARAM Summary'!$A$5:$CJ$14,8,0)</f>
        <v>391.73263364944341</v>
      </c>
      <c r="D43" s="347">
        <f t="shared" si="4"/>
        <v>2489.2994651933168</v>
      </c>
      <c r="E43" s="339">
        <f t="shared" si="5"/>
        <v>2456.6550790558631</v>
      </c>
      <c r="F43" s="339">
        <f t="shared" si="5"/>
        <v>2424.0106929184094</v>
      </c>
      <c r="G43" s="339">
        <f t="shared" si="5"/>
        <v>2391.3663067809557</v>
      </c>
      <c r="H43" s="339">
        <f t="shared" si="5"/>
        <v>2358.721920643502</v>
      </c>
      <c r="I43" s="339">
        <f t="shared" si="5"/>
        <v>2326.0775345060483</v>
      </c>
      <c r="J43" s="339">
        <f t="shared" si="5"/>
        <v>2293.4331483685946</v>
      </c>
      <c r="K43" s="339">
        <f t="shared" si="5"/>
        <v>2260.7887622311409</v>
      </c>
      <c r="L43" s="339">
        <f t="shared" si="5"/>
        <v>2228.1443760936872</v>
      </c>
      <c r="M43" s="339">
        <f t="shared" si="5"/>
        <v>2195.4999899562335</v>
      </c>
      <c r="N43" s="339">
        <f t="shared" si="5"/>
        <v>2162.8556038187799</v>
      </c>
      <c r="O43" s="339">
        <f t="shared" si="5"/>
        <v>2130.2112176813262</v>
      </c>
    </row>
    <row r="44" spans="1:15" x14ac:dyDescent="0.25">
      <c r="A44" s="327">
        <v>26</v>
      </c>
      <c r="B44" s="327">
        <v>2043</v>
      </c>
      <c r="C44" s="344">
        <f>HLOOKUP(B44,'FT Combined ARAM Summary'!$A$5:$CJ$14,8,0)</f>
        <v>337.43598305744251</v>
      </c>
      <c r="D44" s="347">
        <f t="shared" si="4"/>
        <v>2102.0915524265392</v>
      </c>
      <c r="E44" s="339">
        <f t="shared" si="5"/>
        <v>2073.9718871717523</v>
      </c>
      <c r="F44" s="339">
        <f t="shared" si="5"/>
        <v>2045.8522219169654</v>
      </c>
      <c r="G44" s="339">
        <f t="shared" si="5"/>
        <v>2017.7325566621785</v>
      </c>
      <c r="H44" s="339">
        <f t="shared" si="5"/>
        <v>1989.6128914073915</v>
      </c>
      <c r="I44" s="339">
        <f t="shared" si="5"/>
        <v>1961.4932261526046</v>
      </c>
      <c r="J44" s="339">
        <f t="shared" si="5"/>
        <v>1933.3735608978177</v>
      </c>
      <c r="K44" s="339">
        <f t="shared" si="5"/>
        <v>1905.2538956430308</v>
      </c>
      <c r="L44" s="339">
        <f t="shared" si="5"/>
        <v>1877.1342303882439</v>
      </c>
      <c r="M44" s="339">
        <f t="shared" si="5"/>
        <v>1849.0145651334569</v>
      </c>
      <c r="N44" s="339">
        <f t="shared" si="5"/>
        <v>1820.89489987867</v>
      </c>
      <c r="O44" s="339">
        <f t="shared" si="5"/>
        <v>1792.7752346238831</v>
      </c>
    </row>
    <row r="45" spans="1:15" x14ac:dyDescent="0.25">
      <c r="A45" s="327">
        <v>27</v>
      </c>
      <c r="B45" s="327">
        <v>2044</v>
      </c>
      <c r="C45" s="344">
        <f>HLOOKUP(B45,'FT Combined ARAM Summary'!$A$5:$CJ$14,8,0)</f>
        <v>337.43598305744297</v>
      </c>
      <c r="D45" s="347">
        <f t="shared" si="4"/>
        <v>1764.6555693690962</v>
      </c>
      <c r="E45" s="339">
        <f t="shared" si="5"/>
        <v>1736.5359041143092</v>
      </c>
      <c r="F45" s="339">
        <f t="shared" si="5"/>
        <v>1708.4162388595223</v>
      </c>
      <c r="G45" s="339">
        <f t="shared" si="5"/>
        <v>1680.2965736047354</v>
      </c>
      <c r="H45" s="339">
        <f t="shared" si="5"/>
        <v>1652.1769083499485</v>
      </c>
      <c r="I45" s="339">
        <f t="shared" si="5"/>
        <v>1624.0572430951615</v>
      </c>
      <c r="J45" s="339">
        <f t="shared" si="5"/>
        <v>1595.9375778403746</v>
      </c>
      <c r="K45" s="339">
        <f t="shared" si="5"/>
        <v>1567.8179125855877</v>
      </c>
      <c r="L45" s="339">
        <f t="shared" si="5"/>
        <v>1539.6982473308008</v>
      </c>
      <c r="M45" s="339">
        <f t="shared" si="5"/>
        <v>1511.5785820760138</v>
      </c>
      <c r="N45" s="339">
        <f t="shared" si="5"/>
        <v>1483.4589168212269</v>
      </c>
      <c r="O45" s="339">
        <f t="shared" si="5"/>
        <v>1455.33925156644</v>
      </c>
    </row>
    <row r="46" spans="1:15" x14ac:dyDescent="0.25">
      <c r="A46" s="327">
        <v>28</v>
      </c>
      <c r="B46" s="327">
        <v>2045</v>
      </c>
      <c r="C46" s="344">
        <f>HLOOKUP(B46,'FT Combined ARAM Summary'!$A$5:$CJ$14,8,0)</f>
        <v>337.43598305744297</v>
      </c>
      <c r="D46" s="347">
        <f t="shared" si="4"/>
        <v>1427.2195863116531</v>
      </c>
      <c r="E46" s="339">
        <f t="shared" ref="E46:O61" si="6">+D46-($C46/12)</f>
        <v>1399.0999210568662</v>
      </c>
      <c r="F46" s="339">
        <f t="shared" si="6"/>
        <v>1370.9802558020792</v>
      </c>
      <c r="G46" s="339">
        <f t="shared" si="6"/>
        <v>1342.8605905472923</v>
      </c>
      <c r="H46" s="339">
        <f t="shared" si="6"/>
        <v>1314.7409252925054</v>
      </c>
      <c r="I46" s="339">
        <f t="shared" si="6"/>
        <v>1286.6212600377185</v>
      </c>
      <c r="J46" s="339">
        <f t="shared" si="6"/>
        <v>1258.5015947829315</v>
      </c>
      <c r="K46" s="339">
        <f t="shared" si="6"/>
        <v>1230.3819295281446</v>
      </c>
      <c r="L46" s="339">
        <f t="shared" si="6"/>
        <v>1202.2622642733577</v>
      </c>
      <c r="M46" s="339">
        <f t="shared" si="6"/>
        <v>1174.1425990185708</v>
      </c>
      <c r="N46" s="339">
        <f t="shared" si="6"/>
        <v>1146.0229337637838</v>
      </c>
      <c r="O46" s="339">
        <f t="shared" si="6"/>
        <v>1117.9032685089969</v>
      </c>
    </row>
    <row r="47" spans="1:15" s="44" customFormat="1" x14ac:dyDescent="0.25">
      <c r="A47" s="44">
        <v>29</v>
      </c>
      <c r="B47" s="44">
        <v>2046</v>
      </c>
      <c r="C47" s="344">
        <f>HLOOKUP(B47,'FT Combined ARAM Summary'!$A$5:$CJ$14,8,0)</f>
        <v>337.43598305744297</v>
      </c>
      <c r="D47" s="347">
        <f t="shared" si="4"/>
        <v>1089.78360325421</v>
      </c>
      <c r="E47" s="339">
        <f t="shared" si="6"/>
        <v>1061.6639379994231</v>
      </c>
      <c r="F47" s="339">
        <f t="shared" si="6"/>
        <v>1033.5442727446361</v>
      </c>
      <c r="G47" s="339">
        <f t="shared" si="6"/>
        <v>1005.4246074898492</v>
      </c>
      <c r="H47" s="339">
        <f t="shared" si="6"/>
        <v>977.3049422350623</v>
      </c>
      <c r="I47" s="339">
        <f t="shared" si="6"/>
        <v>949.18527698027538</v>
      </c>
      <c r="J47" s="339">
        <f t="shared" si="6"/>
        <v>921.06561172548845</v>
      </c>
      <c r="K47" s="339">
        <f t="shared" si="6"/>
        <v>892.94594647070153</v>
      </c>
      <c r="L47" s="339">
        <f t="shared" si="6"/>
        <v>864.82628121591461</v>
      </c>
      <c r="M47" s="339">
        <f t="shared" si="6"/>
        <v>836.70661596112768</v>
      </c>
      <c r="N47" s="339">
        <f t="shared" si="6"/>
        <v>808.58695070634076</v>
      </c>
      <c r="O47" s="339">
        <f t="shared" si="6"/>
        <v>780.46728545155383</v>
      </c>
    </row>
    <row r="48" spans="1:15" x14ac:dyDescent="0.25">
      <c r="A48" s="91">
        <v>30</v>
      </c>
      <c r="B48" s="327">
        <v>2047</v>
      </c>
      <c r="C48" s="344">
        <f>HLOOKUP(B48,'FT Combined ARAM Summary'!$A$5:$CJ$14,8,0)</f>
        <v>211.72887419922949</v>
      </c>
      <c r="D48" s="347">
        <f t="shared" si="4"/>
        <v>762.82321260161802</v>
      </c>
      <c r="E48" s="339">
        <f t="shared" si="6"/>
        <v>745.17913975168221</v>
      </c>
      <c r="F48" s="339">
        <f t="shared" si="6"/>
        <v>727.5350669017464</v>
      </c>
      <c r="G48" s="339">
        <f t="shared" si="6"/>
        <v>709.89099405181059</v>
      </c>
      <c r="H48" s="339">
        <f t="shared" si="6"/>
        <v>692.24692120187478</v>
      </c>
      <c r="I48" s="339">
        <f t="shared" si="6"/>
        <v>674.60284835193897</v>
      </c>
      <c r="J48" s="339">
        <f t="shared" si="6"/>
        <v>656.95877550200316</v>
      </c>
      <c r="K48" s="339">
        <f t="shared" si="6"/>
        <v>639.31470265206735</v>
      </c>
      <c r="L48" s="339">
        <f t="shared" si="6"/>
        <v>621.67062980213154</v>
      </c>
      <c r="M48" s="339">
        <f t="shared" si="6"/>
        <v>604.02655695219573</v>
      </c>
      <c r="N48" s="339">
        <f t="shared" si="6"/>
        <v>586.38248410225992</v>
      </c>
      <c r="O48" s="339">
        <f t="shared" si="6"/>
        <v>568.73841125232411</v>
      </c>
    </row>
    <row r="49" spans="1:15" x14ac:dyDescent="0.25">
      <c r="A49" s="91">
        <v>31</v>
      </c>
      <c r="B49" s="327">
        <v>2048</v>
      </c>
      <c r="C49" s="344">
        <f>HLOOKUP(B49,'FT Combined ARAM Summary'!$A$5:$CJ$14,8,0)</f>
        <v>101.12397365508161</v>
      </c>
      <c r="D49" s="347">
        <f t="shared" si="4"/>
        <v>560.31141344773403</v>
      </c>
      <c r="E49" s="339">
        <f t="shared" si="6"/>
        <v>551.88441564314394</v>
      </c>
      <c r="F49" s="339">
        <f t="shared" si="6"/>
        <v>543.45741783855385</v>
      </c>
      <c r="G49" s="339">
        <f t="shared" si="6"/>
        <v>535.03042003396376</v>
      </c>
      <c r="H49" s="339">
        <f t="shared" si="6"/>
        <v>526.60342222937368</v>
      </c>
      <c r="I49" s="339">
        <f t="shared" si="6"/>
        <v>518.17642442478359</v>
      </c>
      <c r="J49" s="339">
        <f t="shared" si="6"/>
        <v>509.74942662019345</v>
      </c>
      <c r="K49" s="339">
        <f t="shared" si="6"/>
        <v>501.3224288156033</v>
      </c>
      <c r="L49" s="339">
        <f t="shared" si="6"/>
        <v>492.89543101101316</v>
      </c>
      <c r="M49" s="339">
        <f t="shared" si="6"/>
        <v>484.46843320642301</v>
      </c>
      <c r="N49" s="339">
        <f t="shared" si="6"/>
        <v>476.04143540183287</v>
      </c>
      <c r="O49" s="339">
        <f t="shared" si="6"/>
        <v>467.61443759724273</v>
      </c>
    </row>
    <row r="50" spans="1:15" x14ac:dyDescent="0.25">
      <c r="A50" s="91">
        <v>32</v>
      </c>
      <c r="B50" s="327">
        <v>2049</v>
      </c>
      <c r="C50" s="344">
        <f>HLOOKUP(B50,'FT Combined ARAM Summary'!$A$5:$CJ$14,8,0)</f>
        <v>101.1239736550815</v>
      </c>
      <c r="D50" s="347">
        <f t="shared" si="4"/>
        <v>459.18743979265258</v>
      </c>
      <c r="E50" s="339">
        <f t="shared" si="6"/>
        <v>450.76044198806244</v>
      </c>
      <c r="F50" s="339">
        <f t="shared" si="6"/>
        <v>442.3334441834723</v>
      </c>
      <c r="G50" s="339">
        <f t="shared" si="6"/>
        <v>433.90644637888215</v>
      </c>
      <c r="H50" s="339">
        <f t="shared" si="6"/>
        <v>425.47944857429201</v>
      </c>
      <c r="I50" s="339">
        <f t="shared" si="6"/>
        <v>417.05245076970186</v>
      </c>
      <c r="J50" s="339">
        <f t="shared" si="6"/>
        <v>408.62545296511172</v>
      </c>
      <c r="K50" s="339">
        <f t="shared" si="6"/>
        <v>400.19845516052158</v>
      </c>
      <c r="L50" s="339">
        <f t="shared" si="6"/>
        <v>391.77145735593143</v>
      </c>
      <c r="M50" s="339">
        <f t="shared" si="6"/>
        <v>383.34445955134129</v>
      </c>
      <c r="N50" s="339">
        <f t="shared" si="6"/>
        <v>374.91746174675114</v>
      </c>
      <c r="O50" s="339">
        <f t="shared" si="6"/>
        <v>366.490463942161</v>
      </c>
    </row>
    <row r="51" spans="1:15" x14ac:dyDescent="0.25">
      <c r="A51" s="91">
        <v>33</v>
      </c>
      <c r="B51" s="327">
        <v>2050</v>
      </c>
      <c r="C51" s="344">
        <f>HLOOKUP(B51,'FT Combined ARAM Summary'!$A$5:$CJ$14,8,0)</f>
        <v>101.26493350980036</v>
      </c>
      <c r="D51" s="347">
        <f t="shared" si="4"/>
        <v>358.05171948301097</v>
      </c>
      <c r="E51" s="339">
        <f t="shared" si="6"/>
        <v>349.61297502386094</v>
      </c>
      <c r="F51" s="339">
        <f t="shared" si="6"/>
        <v>341.17423056471091</v>
      </c>
      <c r="G51" s="339">
        <f t="shared" si="6"/>
        <v>332.73548610556088</v>
      </c>
      <c r="H51" s="339">
        <f t="shared" si="6"/>
        <v>324.29674164641085</v>
      </c>
      <c r="I51" s="339">
        <f t="shared" si="6"/>
        <v>315.85799718726082</v>
      </c>
      <c r="J51" s="339">
        <f t="shared" si="6"/>
        <v>307.41925272811079</v>
      </c>
      <c r="K51" s="339">
        <f t="shared" si="6"/>
        <v>298.98050826896076</v>
      </c>
      <c r="L51" s="339">
        <f t="shared" si="6"/>
        <v>290.54176380981073</v>
      </c>
      <c r="M51" s="339">
        <f t="shared" si="6"/>
        <v>282.1030193506607</v>
      </c>
      <c r="N51" s="339">
        <f t="shared" si="6"/>
        <v>273.66427489151067</v>
      </c>
      <c r="O51" s="339">
        <f t="shared" si="6"/>
        <v>265.22553043236064</v>
      </c>
    </row>
    <row r="52" spans="1:15" x14ac:dyDescent="0.25">
      <c r="A52" s="91">
        <v>34</v>
      </c>
      <c r="B52" s="327">
        <v>2051</v>
      </c>
      <c r="C52" s="344">
        <f>HLOOKUP(B52,'FT Combined ARAM Summary'!$A$5:$CJ$14,8,0)</f>
        <v>81.80253651998683</v>
      </c>
      <c r="D52" s="347">
        <f t="shared" si="4"/>
        <v>258.40865238902842</v>
      </c>
      <c r="E52" s="339">
        <f t="shared" si="6"/>
        <v>251.59177434569619</v>
      </c>
      <c r="F52" s="339">
        <f t="shared" si="6"/>
        <v>244.77489630236397</v>
      </c>
      <c r="G52" s="339">
        <f t="shared" si="6"/>
        <v>237.95801825903175</v>
      </c>
      <c r="H52" s="339">
        <f t="shared" si="6"/>
        <v>231.14114021569952</v>
      </c>
      <c r="I52" s="339">
        <f t="shared" si="6"/>
        <v>224.3242621723673</v>
      </c>
      <c r="J52" s="339">
        <f t="shared" si="6"/>
        <v>217.50738412903507</v>
      </c>
      <c r="K52" s="339">
        <f t="shared" si="6"/>
        <v>210.69050608570285</v>
      </c>
      <c r="L52" s="339">
        <f t="shared" si="6"/>
        <v>203.87362804237063</v>
      </c>
      <c r="M52" s="339">
        <f t="shared" si="6"/>
        <v>197.0567499990384</v>
      </c>
      <c r="N52" s="339">
        <f t="shared" si="6"/>
        <v>190.23987195570618</v>
      </c>
      <c r="O52" s="339">
        <f t="shared" si="6"/>
        <v>183.42299391237395</v>
      </c>
    </row>
    <row r="53" spans="1:15" x14ac:dyDescent="0.25">
      <c r="A53" s="91">
        <v>35</v>
      </c>
      <c r="B53" s="327">
        <v>2052</v>
      </c>
      <c r="C53" s="344">
        <f>HLOOKUP(B53,'FT Combined ARAM Summary'!$A$5:$CJ$14,8,0)</f>
        <v>36.58147378107023</v>
      </c>
      <c r="D53" s="347">
        <f t="shared" si="4"/>
        <v>180.37453776395142</v>
      </c>
      <c r="E53" s="339">
        <f t="shared" si="6"/>
        <v>177.32608161552889</v>
      </c>
      <c r="F53" s="339">
        <f t="shared" si="6"/>
        <v>174.27762546710636</v>
      </c>
      <c r="G53" s="339">
        <f t="shared" si="6"/>
        <v>171.22916931868383</v>
      </c>
      <c r="H53" s="339">
        <f t="shared" si="6"/>
        <v>168.1807131702613</v>
      </c>
      <c r="I53" s="339">
        <f t="shared" si="6"/>
        <v>165.13225702183877</v>
      </c>
      <c r="J53" s="339">
        <f t="shared" si="6"/>
        <v>162.08380087341624</v>
      </c>
      <c r="K53" s="339">
        <f t="shared" si="6"/>
        <v>159.03534472499371</v>
      </c>
      <c r="L53" s="339">
        <f t="shared" si="6"/>
        <v>155.98688857657118</v>
      </c>
      <c r="M53" s="339">
        <f t="shared" si="6"/>
        <v>152.93843242814864</v>
      </c>
      <c r="N53" s="339">
        <f t="shared" si="6"/>
        <v>149.88997627972611</v>
      </c>
      <c r="O53" s="339">
        <f t="shared" si="6"/>
        <v>146.84152013130358</v>
      </c>
    </row>
    <row r="54" spans="1:15" x14ac:dyDescent="0.25">
      <c r="A54" s="91">
        <v>36</v>
      </c>
      <c r="B54" s="327">
        <v>2053</v>
      </c>
      <c r="C54" s="344">
        <f>HLOOKUP(B54,'FT Combined ARAM Summary'!$A$5:$CJ$14,8,0)</f>
        <v>35.696443356564586</v>
      </c>
      <c r="D54" s="347">
        <f t="shared" si="4"/>
        <v>143.86681651825654</v>
      </c>
      <c r="E54" s="339">
        <f t="shared" si="6"/>
        <v>140.8921129052095</v>
      </c>
      <c r="F54" s="339">
        <f t="shared" si="6"/>
        <v>137.91740929216246</v>
      </c>
      <c r="G54" s="339">
        <f t="shared" si="6"/>
        <v>134.94270567911542</v>
      </c>
      <c r="H54" s="339">
        <f t="shared" si="6"/>
        <v>131.96800206606838</v>
      </c>
      <c r="I54" s="339">
        <f t="shared" si="6"/>
        <v>128.99329845302134</v>
      </c>
      <c r="J54" s="339">
        <f t="shared" si="6"/>
        <v>126.01859483997428</v>
      </c>
      <c r="K54" s="339">
        <f t="shared" si="6"/>
        <v>123.04389122692723</v>
      </c>
      <c r="L54" s="339">
        <f t="shared" si="6"/>
        <v>120.06918761388017</v>
      </c>
      <c r="M54" s="339">
        <f t="shared" si="6"/>
        <v>117.09448400083312</v>
      </c>
      <c r="N54" s="339">
        <f t="shared" si="6"/>
        <v>114.11978038778607</v>
      </c>
      <c r="O54" s="339">
        <f t="shared" si="6"/>
        <v>111.14507677473901</v>
      </c>
    </row>
    <row r="55" spans="1:15" x14ac:dyDescent="0.25">
      <c r="A55" s="91">
        <v>37</v>
      </c>
      <c r="B55" s="327">
        <v>2054</v>
      </c>
      <c r="C55" s="344">
        <f>HLOOKUP(B55,'FT Combined ARAM Summary'!$A$5:$CJ$14,8,0)</f>
        <v>35.814498034030095</v>
      </c>
      <c r="D55" s="347">
        <f t="shared" si="4"/>
        <v>108.16053527190317</v>
      </c>
      <c r="E55" s="339">
        <f t="shared" si="6"/>
        <v>105.17599376906733</v>
      </c>
      <c r="F55" s="339">
        <f t="shared" si="6"/>
        <v>102.19145226623149</v>
      </c>
      <c r="G55" s="339">
        <f t="shared" si="6"/>
        <v>99.206910763395655</v>
      </c>
      <c r="H55" s="339">
        <f t="shared" si="6"/>
        <v>96.222369260559816</v>
      </c>
      <c r="I55" s="339">
        <f t="shared" si="6"/>
        <v>93.237827757723977</v>
      </c>
      <c r="J55" s="339">
        <f t="shared" si="6"/>
        <v>90.253286254888138</v>
      </c>
      <c r="K55" s="339">
        <f t="shared" si="6"/>
        <v>87.268744752052299</v>
      </c>
      <c r="L55" s="339">
        <f t="shared" si="6"/>
        <v>84.284203249216461</v>
      </c>
      <c r="M55" s="339">
        <f t="shared" si="6"/>
        <v>81.299661746380622</v>
      </c>
      <c r="N55" s="339">
        <f t="shared" si="6"/>
        <v>78.315120243544783</v>
      </c>
      <c r="O55" s="339">
        <f t="shared" si="6"/>
        <v>75.330578740708944</v>
      </c>
    </row>
    <row r="56" spans="1:15" x14ac:dyDescent="0.25">
      <c r="A56" s="91">
        <v>38</v>
      </c>
      <c r="B56" s="327">
        <v>2055</v>
      </c>
      <c r="C56" s="344">
        <f>HLOOKUP(B56,'FT Combined ARAM Summary'!$A$5:$CJ$14,8,0)</f>
        <v>34.309105314154394</v>
      </c>
      <c r="D56" s="347">
        <f t="shared" si="4"/>
        <v>72.471486631196072</v>
      </c>
      <c r="E56" s="339">
        <f t="shared" si="6"/>
        <v>69.6123945216832</v>
      </c>
      <c r="F56" s="339">
        <f t="shared" si="6"/>
        <v>66.753302412170328</v>
      </c>
      <c r="G56" s="339">
        <f t="shared" si="6"/>
        <v>63.894210302657463</v>
      </c>
      <c r="H56" s="339">
        <f t="shared" si="6"/>
        <v>61.035118193144598</v>
      </c>
      <c r="I56" s="339">
        <f t="shared" si="6"/>
        <v>58.176026083631733</v>
      </c>
      <c r="J56" s="339">
        <f t="shared" si="6"/>
        <v>55.316933974118868</v>
      </c>
      <c r="K56" s="339">
        <f t="shared" si="6"/>
        <v>52.457841864606003</v>
      </c>
      <c r="L56" s="339">
        <f t="shared" si="6"/>
        <v>49.598749755093138</v>
      </c>
      <c r="M56" s="339">
        <f t="shared" si="6"/>
        <v>46.739657645580273</v>
      </c>
      <c r="N56" s="339">
        <f t="shared" si="6"/>
        <v>43.880565536067408</v>
      </c>
      <c r="O56" s="339">
        <f t="shared" si="6"/>
        <v>41.021473426554543</v>
      </c>
    </row>
    <row r="57" spans="1:15" x14ac:dyDescent="0.25">
      <c r="A57" s="91">
        <v>39</v>
      </c>
      <c r="B57" s="327">
        <v>2056</v>
      </c>
      <c r="C57" s="344">
        <f>HLOOKUP(B57,'FT Combined ARAM Summary'!$A$5:$CJ$14,8,0)</f>
        <v>26.626929659200314</v>
      </c>
      <c r="D57" s="347">
        <f t="shared" si="4"/>
        <v>38.802562621621185</v>
      </c>
      <c r="E57" s="339">
        <f t="shared" si="6"/>
        <v>36.583651816687826</v>
      </c>
      <c r="F57" s="339">
        <f t="shared" si="6"/>
        <v>34.364741011754468</v>
      </c>
      <c r="G57" s="339">
        <f t="shared" si="6"/>
        <v>32.14583020682111</v>
      </c>
      <c r="H57" s="339">
        <f t="shared" si="6"/>
        <v>29.926919401887751</v>
      </c>
      <c r="I57" s="339">
        <f t="shared" si="6"/>
        <v>27.708008596954393</v>
      </c>
      <c r="J57" s="339">
        <f t="shared" si="6"/>
        <v>25.489097792021035</v>
      </c>
      <c r="K57" s="339">
        <f t="shared" si="6"/>
        <v>23.270186987087676</v>
      </c>
      <c r="L57" s="339">
        <f t="shared" si="6"/>
        <v>21.051276182154318</v>
      </c>
      <c r="M57" s="339">
        <f t="shared" si="6"/>
        <v>18.83236537722096</v>
      </c>
      <c r="N57" s="339">
        <f t="shared" si="6"/>
        <v>16.613454572287601</v>
      </c>
      <c r="O57" s="339">
        <f t="shared" si="6"/>
        <v>14.394543767354241</v>
      </c>
    </row>
    <row r="58" spans="1:15" x14ac:dyDescent="0.25">
      <c r="A58" s="91">
        <v>40</v>
      </c>
      <c r="B58" s="327">
        <v>2057</v>
      </c>
      <c r="C58" s="344">
        <f>HLOOKUP(B58,'FT Combined ARAM Summary'!$A$5:$CJ$14,8,0)</f>
        <v>12.394543767537051</v>
      </c>
      <c r="D58" s="347">
        <f t="shared" si="4"/>
        <v>13.361665120059486</v>
      </c>
      <c r="E58" s="339">
        <f t="shared" si="6"/>
        <v>12.328786472764731</v>
      </c>
      <c r="F58" s="339">
        <f t="shared" si="6"/>
        <v>11.295907825469977</v>
      </c>
      <c r="G58" s="339">
        <f t="shared" si="6"/>
        <v>10.263029178175222</v>
      </c>
      <c r="H58" s="339">
        <f t="shared" si="6"/>
        <v>9.2301505308804668</v>
      </c>
      <c r="I58" s="339">
        <f t="shared" si="6"/>
        <v>8.1972718835857119</v>
      </c>
      <c r="J58" s="339">
        <f t="shared" si="6"/>
        <v>7.1643932362909579</v>
      </c>
      <c r="K58" s="339">
        <f t="shared" si="6"/>
        <v>6.1315145889962039</v>
      </c>
      <c r="L58" s="339">
        <f t="shared" si="6"/>
        <v>5.09863594170145</v>
      </c>
      <c r="M58" s="339">
        <f t="shared" si="6"/>
        <v>4.065757294406696</v>
      </c>
      <c r="N58" s="339">
        <f t="shared" si="6"/>
        <v>3.032878647111942</v>
      </c>
      <c r="O58" s="339">
        <f t="shared" si="6"/>
        <v>1.9999999998171878</v>
      </c>
    </row>
    <row r="59" spans="1:15" x14ac:dyDescent="0.25">
      <c r="A59" s="91">
        <v>41</v>
      </c>
      <c r="B59" s="327">
        <v>2058</v>
      </c>
      <c r="C59" s="344">
        <f>HLOOKUP(B59,'FT Combined ARAM Summary'!$A$5:$CJ$14,8,0)</f>
        <v>0</v>
      </c>
      <c r="D59" s="347">
        <f>+O58-($C59/12)</f>
        <v>1.9999999998171878</v>
      </c>
      <c r="E59" s="339">
        <f t="shared" si="6"/>
        <v>1.9999999998171878</v>
      </c>
      <c r="F59" s="339">
        <f t="shared" si="6"/>
        <v>1.9999999998171878</v>
      </c>
      <c r="G59" s="339">
        <f t="shared" si="6"/>
        <v>1.9999999998171878</v>
      </c>
      <c r="H59" s="339">
        <f t="shared" si="6"/>
        <v>1.9999999998171878</v>
      </c>
      <c r="I59" s="339">
        <f t="shared" si="6"/>
        <v>1.9999999998171878</v>
      </c>
      <c r="J59" s="339">
        <f t="shared" si="6"/>
        <v>1.9999999998171878</v>
      </c>
      <c r="K59" s="339">
        <f t="shared" si="6"/>
        <v>1.9999999998171878</v>
      </c>
      <c r="L59" s="339">
        <f t="shared" si="6"/>
        <v>1.9999999998171878</v>
      </c>
      <c r="M59" s="339">
        <f t="shared" si="6"/>
        <v>1.9999999998171878</v>
      </c>
      <c r="N59" s="339">
        <f t="shared" si="6"/>
        <v>1.9999999998171878</v>
      </c>
      <c r="O59" s="339">
        <f t="shared" si="6"/>
        <v>1.9999999998171878</v>
      </c>
    </row>
    <row r="60" spans="1:15" x14ac:dyDescent="0.25">
      <c r="A60" s="91">
        <v>42</v>
      </c>
      <c r="B60" s="327">
        <v>2059</v>
      </c>
      <c r="C60" s="344">
        <f>HLOOKUP(B60,'FT Combined ARAM Summary'!$A$5:$CJ$14,8,0)</f>
        <v>0</v>
      </c>
      <c r="D60" s="347">
        <f t="shared" si="4"/>
        <v>1.9999999998171878</v>
      </c>
      <c r="E60" s="339">
        <f t="shared" si="6"/>
        <v>1.9999999998171878</v>
      </c>
      <c r="F60" s="339">
        <f t="shared" si="6"/>
        <v>1.9999999998171878</v>
      </c>
      <c r="G60" s="339">
        <f t="shared" si="6"/>
        <v>1.9999999998171878</v>
      </c>
      <c r="H60" s="339">
        <f t="shared" si="6"/>
        <v>1.9999999998171878</v>
      </c>
      <c r="I60" s="339">
        <f t="shared" si="6"/>
        <v>1.9999999998171878</v>
      </c>
      <c r="J60" s="339">
        <f t="shared" si="6"/>
        <v>1.9999999998171878</v>
      </c>
      <c r="K60" s="339">
        <f t="shared" si="6"/>
        <v>1.9999999998171878</v>
      </c>
      <c r="L60" s="339">
        <f t="shared" si="6"/>
        <v>1.9999999998171878</v>
      </c>
      <c r="M60" s="339">
        <f t="shared" si="6"/>
        <v>1.9999999998171878</v>
      </c>
      <c r="N60" s="339">
        <f t="shared" si="6"/>
        <v>1.9999999998171878</v>
      </c>
      <c r="O60" s="339">
        <f t="shared" si="6"/>
        <v>1.9999999998171878</v>
      </c>
    </row>
    <row r="61" spans="1:15" x14ac:dyDescent="0.25">
      <c r="A61" s="91">
        <v>43</v>
      </c>
      <c r="B61" s="327">
        <v>2060</v>
      </c>
      <c r="C61" s="344">
        <f>HLOOKUP(B61,'FT Combined ARAM Summary'!$A$5:$CJ$14,8,0)</f>
        <v>0</v>
      </c>
      <c r="D61" s="347">
        <f t="shared" si="4"/>
        <v>1.9999999998171878</v>
      </c>
      <c r="E61" s="339">
        <f t="shared" si="6"/>
        <v>1.9999999998171878</v>
      </c>
      <c r="F61" s="339">
        <f t="shared" si="6"/>
        <v>1.9999999998171878</v>
      </c>
      <c r="G61" s="339">
        <f t="shared" si="6"/>
        <v>1.9999999998171878</v>
      </c>
      <c r="H61" s="339">
        <f t="shared" si="6"/>
        <v>1.9999999998171878</v>
      </c>
      <c r="I61" s="339">
        <f t="shared" si="6"/>
        <v>1.9999999998171878</v>
      </c>
      <c r="J61" s="339">
        <f t="shared" si="6"/>
        <v>1.9999999998171878</v>
      </c>
      <c r="K61" s="339">
        <f t="shared" si="6"/>
        <v>1.9999999998171878</v>
      </c>
      <c r="L61" s="339">
        <f t="shared" si="6"/>
        <v>1.9999999998171878</v>
      </c>
      <c r="M61" s="339">
        <f t="shared" si="6"/>
        <v>1.9999999998171878</v>
      </c>
      <c r="N61" s="339">
        <f t="shared" si="6"/>
        <v>1.9999999998171878</v>
      </c>
      <c r="O61" s="339">
        <f t="shared" si="6"/>
        <v>1.9999999998171878</v>
      </c>
    </row>
    <row r="62" spans="1:15" x14ac:dyDescent="0.25">
      <c r="A62" s="91">
        <v>44</v>
      </c>
      <c r="B62" s="327">
        <v>2061</v>
      </c>
      <c r="C62" s="344">
        <f>HLOOKUP(B62,'FT Combined ARAM Summary'!$A$5:$CJ$14,8,0)</f>
        <v>0</v>
      </c>
      <c r="D62" s="347">
        <f t="shared" si="4"/>
        <v>1.9999999998171878</v>
      </c>
      <c r="E62" s="339">
        <f t="shared" ref="E62:O77" si="7">+D62-($C62/12)</f>
        <v>1.9999999998171878</v>
      </c>
      <c r="F62" s="339">
        <f t="shared" si="7"/>
        <v>1.9999999998171878</v>
      </c>
      <c r="G62" s="339">
        <f t="shared" si="7"/>
        <v>1.9999999998171878</v>
      </c>
      <c r="H62" s="339">
        <f t="shared" si="7"/>
        <v>1.9999999998171878</v>
      </c>
      <c r="I62" s="339">
        <f t="shared" si="7"/>
        <v>1.9999999998171878</v>
      </c>
      <c r="J62" s="339">
        <f t="shared" si="7"/>
        <v>1.9999999998171878</v>
      </c>
      <c r="K62" s="339">
        <f t="shared" si="7"/>
        <v>1.9999999998171878</v>
      </c>
      <c r="L62" s="339">
        <f t="shared" si="7"/>
        <v>1.9999999998171878</v>
      </c>
      <c r="M62" s="339">
        <f t="shared" si="7"/>
        <v>1.9999999998171878</v>
      </c>
      <c r="N62" s="339">
        <f t="shared" si="7"/>
        <v>1.9999999998171878</v>
      </c>
      <c r="O62" s="339">
        <f t="shared" si="7"/>
        <v>1.9999999998171878</v>
      </c>
    </row>
    <row r="63" spans="1:15" x14ac:dyDescent="0.25">
      <c r="A63" s="91">
        <v>45</v>
      </c>
      <c r="B63" s="327">
        <v>2062</v>
      </c>
      <c r="C63" s="344">
        <f>HLOOKUP(B63,'FT Combined ARAM Summary'!$A$5:$CJ$14,8,0)</f>
        <v>0</v>
      </c>
      <c r="D63" s="347">
        <f t="shared" si="4"/>
        <v>1.9999999998171878</v>
      </c>
      <c r="E63" s="339">
        <f t="shared" si="7"/>
        <v>1.9999999998171878</v>
      </c>
      <c r="F63" s="339">
        <f t="shared" si="7"/>
        <v>1.9999999998171878</v>
      </c>
      <c r="G63" s="339">
        <f t="shared" si="7"/>
        <v>1.9999999998171878</v>
      </c>
      <c r="H63" s="339">
        <f t="shared" si="7"/>
        <v>1.9999999998171878</v>
      </c>
      <c r="I63" s="339">
        <f t="shared" si="7"/>
        <v>1.9999999998171878</v>
      </c>
      <c r="J63" s="339">
        <f t="shared" si="7"/>
        <v>1.9999999998171878</v>
      </c>
      <c r="K63" s="339">
        <f t="shared" si="7"/>
        <v>1.9999999998171878</v>
      </c>
      <c r="L63" s="339">
        <f t="shared" si="7"/>
        <v>1.9999999998171878</v>
      </c>
      <c r="M63" s="339">
        <f t="shared" si="7"/>
        <v>1.9999999998171878</v>
      </c>
      <c r="N63" s="339">
        <f t="shared" si="7"/>
        <v>1.9999999998171878</v>
      </c>
      <c r="O63" s="339">
        <f t="shared" si="7"/>
        <v>1.9999999998171878</v>
      </c>
    </row>
    <row r="64" spans="1:15" x14ac:dyDescent="0.25">
      <c r="A64" s="91">
        <v>46</v>
      </c>
      <c r="B64" s="327">
        <v>2063</v>
      </c>
      <c r="C64" s="344">
        <f>HLOOKUP(B64,'FT Combined ARAM Summary'!$A$5:$CJ$14,8,0)</f>
        <v>0</v>
      </c>
      <c r="D64" s="347">
        <f t="shared" si="4"/>
        <v>1.9999999998171878</v>
      </c>
      <c r="E64" s="339">
        <f t="shared" si="7"/>
        <v>1.9999999998171878</v>
      </c>
      <c r="F64" s="339">
        <f t="shared" si="7"/>
        <v>1.9999999998171878</v>
      </c>
      <c r="G64" s="339">
        <f t="shared" si="7"/>
        <v>1.9999999998171878</v>
      </c>
      <c r="H64" s="339">
        <f t="shared" si="7"/>
        <v>1.9999999998171878</v>
      </c>
      <c r="I64" s="339">
        <f t="shared" si="7"/>
        <v>1.9999999998171878</v>
      </c>
      <c r="J64" s="339">
        <f t="shared" si="7"/>
        <v>1.9999999998171878</v>
      </c>
      <c r="K64" s="339">
        <f t="shared" si="7"/>
        <v>1.9999999998171878</v>
      </c>
      <c r="L64" s="339">
        <f t="shared" si="7"/>
        <v>1.9999999998171878</v>
      </c>
      <c r="M64" s="339">
        <f t="shared" si="7"/>
        <v>1.9999999998171878</v>
      </c>
      <c r="N64" s="339">
        <f t="shared" si="7"/>
        <v>1.9999999998171878</v>
      </c>
      <c r="O64" s="339">
        <f t="shared" si="7"/>
        <v>1.9999999998171878</v>
      </c>
    </row>
    <row r="65" spans="1:15" x14ac:dyDescent="0.25">
      <c r="A65" s="91">
        <v>47</v>
      </c>
      <c r="B65" s="327">
        <v>2064</v>
      </c>
      <c r="C65" s="344">
        <f>HLOOKUP(B65,'FT Combined ARAM Summary'!$A$5:$CJ$14,8,0)</f>
        <v>0</v>
      </c>
      <c r="D65" s="347">
        <f t="shared" si="4"/>
        <v>1.9999999998171878</v>
      </c>
      <c r="E65" s="339">
        <f t="shared" si="7"/>
        <v>1.9999999998171878</v>
      </c>
      <c r="F65" s="339">
        <f t="shared" si="7"/>
        <v>1.9999999998171878</v>
      </c>
      <c r="G65" s="339">
        <f t="shared" si="7"/>
        <v>1.9999999998171878</v>
      </c>
      <c r="H65" s="339">
        <f t="shared" si="7"/>
        <v>1.9999999998171878</v>
      </c>
      <c r="I65" s="339">
        <f t="shared" si="7"/>
        <v>1.9999999998171878</v>
      </c>
      <c r="J65" s="339">
        <f t="shared" si="7"/>
        <v>1.9999999998171878</v>
      </c>
      <c r="K65" s="339">
        <f t="shared" si="7"/>
        <v>1.9999999998171878</v>
      </c>
      <c r="L65" s="339">
        <f t="shared" si="7"/>
        <v>1.9999999998171878</v>
      </c>
      <c r="M65" s="339">
        <f t="shared" si="7"/>
        <v>1.9999999998171878</v>
      </c>
      <c r="N65" s="339">
        <f t="shared" si="7"/>
        <v>1.9999999998171878</v>
      </c>
      <c r="O65" s="339">
        <f t="shared" si="7"/>
        <v>1.9999999998171878</v>
      </c>
    </row>
    <row r="66" spans="1:15" x14ac:dyDescent="0.25">
      <c r="A66" s="91">
        <v>48</v>
      </c>
      <c r="B66" s="327">
        <v>2065</v>
      </c>
      <c r="C66" s="344">
        <f>HLOOKUP(B66,'FT Combined ARAM Summary'!$A$5:$CJ$14,8,0)</f>
        <v>0</v>
      </c>
      <c r="D66" s="347">
        <f t="shared" si="4"/>
        <v>1.9999999998171878</v>
      </c>
      <c r="E66" s="339">
        <f t="shared" si="7"/>
        <v>1.9999999998171878</v>
      </c>
      <c r="F66" s="339">
        <f t="shared" si="7"/>
        <v>1.9999999998171878</v>
      </c>
      <c r="G66" s="339">
        <f t="shared" si="7"/>
        <v>1.9999999998171878</v>
      </c>
      <c r="H66" s="339">
        <f t="shared" si="7"/>
        <v>1.9999999998171878</v>
      </c>
      <c r="I66" s="339">
        <f t="shared" si="7"/>
        <v>1.9999999998171878</v>
      </c>
      <c r="J66" s="339">
        <f t="shared" si="7"/>
        <v>1.9999999998171878</v>
      </c>
      <c r="K66" s="339">
        <f t="shared" si="7"/>
        <v>1.9999999998171878</v>
      </c>
      <c r="L66" s="339">
        <f t="shared" si="7"/>
        <v>1.9999999998171878</v>
      </c>
      <c r="M66" s="339">
        <f t="shared" si="7"/>
        <v>1.9999999998171878</v>
      </c>
      <c r="N66" s="339">
        <f t="shared" si="7"/>
        <v>1.9999999998171878</v>
      </c>
      <c r="O66" s="339">
        <f t="shared" si="7"/>
        <v>1.9999999998171878</v>
      </c>
    </row>
    <row r="67" spans="1:15" x14ac:dyDescent="0.25">
      <c r="A67" s="91">
        <v>49</v>
      </c>
      <c r="B67" s="327">
        <v>2066</v>
      </c>
      <c r="C67" s="344">
        <f>HLOOKUP(B67,'FT Combined ARAM Summary'!$A$5:$CJ$14,8,0)</f>
        <v>0</v>
      </c>
      <c r="D67" s="347">
        <f t="shared" si="4"/>
        <v>1.9999999998171878</v>
      </c>
      <c r="E67" s="339">
        <f t="shared" si="7"/>
        <v>1.9999999998171878</v>
      </c>
      <c r="F67" s="339">
        <f t="shared" si="7"/>
        <v>1.9999999998171878</v>
      </c>
      <c r="G67" s="339">
        <f t="shared" si="7"/>
        <v>1.9999999998171878</v>
      </c>
      <c r="H67" s="339">
        <f t="shared" si="7"/>
        <v>1.9999999998171878</v>
      </c>
      <c r="I67" s="339">
        <f t="shared" si="7"/>
        <v>1.9999999998171878</v>
      </c>
      <c r="J67" s="339">
        <f t="shared" si="7"/>
        <v>1.9999999998171878</v>
      </c>
      <c r="K67" s="339">
        <f t="shared" si="7"/>
        <v>1.9999999998171878</v>
      </c>
      <c r="L67" s="339">
        <f t="shared" si="7"/>
        <v>1.9999999998171878</v>
      </c>
      <c r="M67" s="339">
        <f t="shared" si="7"/>
        <v>1.9999999998171878</v>
      </c>
      <c r="N67" s="339">
        <f t="shared" si="7"/>
        <v>1.9999999998171878</v>
      </c>
      <c r="O67" s="339">
        <f t="shared" si="7"/>
        <v>1.9999999998171878</v>
      </c>
    </row>
    <row r="68" spans="1:15" x14ac:dyDescent="0.25">
      <c r="A68" s="91">
        <v>50</v>
      </c>
      <c r="B68" s="327">
        <v>2067</v>
      </c>
      <c r="C68" s="344">
        <f>HLOOKUP(B68,'FT Combined ARAM Summary'!$A$5:$CJ$14,8,0)</f>
        <v>0</v>
      </c>
      <c r="D68" s="347">
        <f t="shared" si="4"/>
        <v>1.9999999998171878</v>
      </c>
      <c r="E68" s="339">
        <f t="shared" si="7"/>
        <v>1.9999999998171878</v>
      </c>
      <c r="F68" s="339">
        <f t="shared" si="7"/>
        <v>1.9999999998171878</v>
      </c>
      <c r="G68" s="339">
        <f t="shared" si="7"/>
        <v>1.9999999998171878</v>
      </c>
      <c r="H68" s="339">
        <f t="shared" si="7"/>
        <v>1.9999999998171878</v>
      </c>
      <c r="I68" s="339">
        <f t="shared" si="7"/>
        <v>1.9999999998171878</v>
      </c>
      <c r="J68" s="339">
        <f t="shared" si="7"/>
        <v>1.9999999998171878</v>
      </c>
      <c r="K68" s="339">
        <f t="shared" si="7"/>
        <v>1.9999999998171878</v>
      </c>
      <c r="L68" s="339">
        <f t="shared" si="7"/>
        <v>1.9999999998171878</v>
      </c>
      <c r="M68" s="339">
        <f t="shared" si="7"/>
        <v>1.9999999998171878</v>
      </c>
      <c r="N68" s="339">
        <f t="shared" si="7"/>
        <v>1.9999999998171878</v>
      </c>
      <c r="O68" s="339">
        <f t="shared" si="7"/>
        <v>1.9999999998171878</v>
      </c>
    </row>
    <row r="69" spans="1:15" x14ac:dyDescent="0.25">
      <c r="A69" s="91">
        <v>51</v>
      </c>
      <c r="B69" s="327">
        <v>2068</v>
      </c>
      <c r="C69" s="344">
        <f>HLOOKUP(B69,'FT Combined ARAM Summary'!$A$5:$CJ$14,8,0)</f>
        <v>0</v>
      </c>
      <c r="D69" s="347">
        <f t="shared" si="4"/>
        <v>1.9999999998171878</v>
      </c>
      <c r="E69" s="339">
        <f t="shared" si="7"/>
        <v>1.9999999998171878</v>
      </c>
      <c r="F69" s="339">
        <f t="shared" si="7"/>
        <v>1.9999999998171878</v>
      </c>
      <c r="G69" s="339">
        <f t="shared" si="7"/>
        <v>1.9999999998171878</v>
      </c>
      <c r="H69" s="339">
        <f t="shared" si="7"/>
        <v>1.9999999998171878</v>
      </c>
      <c r="I69" s="339">
        <f t="shared" si="7"/>
        <v>1.9999999998171878</v>
      </c>
      <c r="J69" s="339">
        <f t="shared" si="7"/>
        <v>1.9999999998171878</v>
      </c>
      <c r="K69" s="339">
        <f t="shared" si="7"/>
        <v>1.9999999998171878</v>
      </c>
      <c r="L69" s="339">
        <f t="shared" si="7"/>
        <v>1.9999999998171878</v>
      </c>
      <c r="M69" s="339">
        <f t="shared" si="7"/>
        <v>1.9999999998171878</v>
      </c>
      <c r="N69" s="339">
        <f t="shared" si="7"/>
        <v>1.9999999998171878</v>
      </c>
      <c r="O69" s="339">
        <f t="shared" si="7"/>
        <v>1.9999999998171878</v>
      </c>
    </row>
    <row r="70" spans="1:15" x14ac:dyDescent="0.25">
      <c r="A70" s="91">
        <v>52</v>
      </c>
      <c r="B70" s="327">
        <v>2069</v>
      </c>
      <c r="C70" s="344">
        <f>HLOOKUP(B70,'FT Combined ARAM Summary'!$A$5:$CJ$14,8,0)</f>
        <v>0</v>
      </c>
      <c r="D70" s="347">
        <f t="shared" si="4"/>
        <v>1.9999999998171878</v>
      </c>
      <c r="E70" s="339">
        <f t="shared" si="7"/>
        <v>1.9999999998171878</v>
      </c>
      <c r="F70" s="339">
        <f t="shared" si="7"/>
        <v>1.9999999998171878</v>
      </c>
      <c r="G70" s="339">
        <f t="shared" si="7"/>
        <v>1.9999999998171878</v>
      </c>
      <c r="H70" s="339">
        <f t="shared" si="7"/>
        <v>1.9999999998171878</v>
      </c>
      <c r="I70" s="339">
        <f t="shared" si="7"/>
        <v>1.9999999998171878</v>
      </c>
      <c r="J70" s="339">
        <f t="shared" si="7"/>
        <v>1.9999999998171878</v>
      </c>
      <c r="K70" s="339">
        <f t="shared" si="7"/>
        <v>1.9999999998171878</v>
      </c>
      <c r="L70" s="339">
        <f t="shared" si="7"/>
        <v>1.9999999998171878</v>
      </c>
      <c r="M70" s="339">
        <f t="shared" si="7"/>
        <v>1.9999999998171878</v>
      </c>
      <c r="N70" s="339">
        <f t="shared" si="7"/>
        <v>1.9999999998171878</v>
      </c>
      <c r="O70" s="339">
        <f t="shared" si="7"/>
        <v>1.9999999998171878</v>
      </c>
    </row>
    <row r="71" spans="1:15" x14ac:dyDescent="0.25">
      <c r="A71" s="91">
        <v>53</v>
      </c>
      <c r="B71" s="327">
        <v>2070</v>
      </c>
      <c r="C71" s="344">
        <f>HLOOKUP(B71,'FT Combined ARAM Summary'!$A$5:$CJ$14,8,0)</f>
        <v>0</v>
      </c>
      <c r="D71" s="347">
        <f t="shared" si="4"/>
        <v>1.9999999998171878</v>
      </c>
      <c r="E71" s="339">
        <f t="shared" si="7"/>
        <v>1.9999999998171878</v>
      </c>
      <c r="F71" s="339">
        <f t="shared" si="7"/>
        <v>1.9999999998171878</v>
      </c>
      <c r="G71" s="339">
        <f t="shared" si="7"/>
        <v>1.9999999998171878</v>
      </c>
      <c r="H71" s="339">
        <f t="shared" si="7"/>
        <v>1.9999999998171878</v>
      </c>
      <c r="I71" s="339">
        <f t="shared" si="7"/>
        <v>1.9999999998171878</v>
      </c>
      <c r="J71" s="339">
        <f t="shared" si="7"/>
        <v>1.9999999998171878</v>
      </c>
      <c r="K71" s="339">
        <f t="shared" si="7"/>
        <v>1.9999999998171878</v>
      </c>
      <c r="L71" s="339">
        <f t="shared" si="7"/>
        <v>1.9999999998171878</v>
      </c>
      <c r="M71" s="339">
        <f t="shared" si="7"/>
        <v>1.9999999998171878</v>
      </c>
      <c r="N71" s="339">
        <f t="shared" si="7"/>
        <v>1.9999999998171878</v>
      </c>
      <c r="O71" s="339">
        <f t="shared" si="7"/>
        <v>1.9999999998171878</v>
      </c>
    </row>
    <row r="72" spans="1:15" x14ac:dyDescent="0.25">
      <c r="A72" s="91">
        <v>54</v>
      </c>
      <c r="B72" s="327">
        <v>2071</v>
      </c>
      <c r="C72" s="344">
        <f>HLOOKUP(B72,'FT Combined ARAM Summary'!$A$5:$CJ$14,8,0)</f>
        <v>0</v>
      </c>
      <c r="D72" s="347">
        <f t="shared" si="4"/>
        <v>1.9999999998171878</v>
      </c>
      <c r="E72" s="339">
        <f t="shared" si="7"/>
        <v>1.9999999998171878</v>
      </c>
      <c r="F72" s="339">
        <f t="shared" si="7"/>
        <v>1.9999999998171878</v>
      </c>
      <c r="G72" s="339">
        <f t="shared" si="7"/>
        <v>1.9999999998171878</v>
      </c>
      <c r="H72" s="339">
        <f t="shared" si="7"/>
        <v>1.9999999998171878</v>
      </c>
      <c r="I72" s="339">
        <f t="shared" si="7"/>
        <v>1.9999999998171878</v>
      </c>
      <c r="J72" s="339">
        <f t="shared" si="7"/>
        <v>1.9999999998171878</v>
      </c>
      <c r="K72" s="339">
        <f t="shared" si="7"/>
        <v>1.9999999998171878</v>
      </c>
      <c r="L72" s="339">
        <f t="shared" si="7"/>
        <v>1.9999999998171878</v>
      </c>
      <c r="M72" s="339">
        <f t="shared" si="7"/>
        <v>1.9999999998171878</v>
      </c>
      <c r="N72" s="339">
        <f t="shared" si="7"/>
        <v>1.9999999998171878</v>
      </c>
      <c r="O72" s="339">
        <f t="shared" si="7"/>
        <v>1.9999999998171878</v>
      </c>
    </row>
    <row r="73" spans="1:15" x14ac:dyDescent="0.25">
      <c r="A73" s="91">
        <v>55</v>
      </c>
      <c r="B73" s="327">
        <v>2072</v>
      </c>
      <c r="C73" s="344">
        <f>HLOOKUP(B73,'FT Combined ARAM Summary'!$A$5:$CJ$14,8,0)</f>
        <v>0</v>
      </c>
      <c r="D73" s="347">
        <f t="shared" si="4"/>
        <v>1.9999999998171878</v>
      </c>
      <c r="E73" s="339">
        <f t="shared" si="7"/>
        <v>1.9999999998171878</v>
      </c>
      <c r="F73" s="339">
        <f t="shared" si="7"/>
        <v>1.9999999998171878</v>
      </c>
      <c r="G73" s="339">
        <f t="shared" si="7"/>
        <v>1.9999999998171878</v>
      </c>
      <c r="H73" s="339">
        <f t="shared" si="7"/>
        <v>1.9999999998171878</v>
      </c>
      <c r="I73" s="339">
        <f t="shared" si="7"/>
        <v>1.9999999998171878</v>
      </c>
      <c r="J73" s="339">
        <f t="shared" si="7"/>
        <v>1.9999999998171878</v>
      </c>
      <c r="K73" s="339">
        <f t="shared" si="7"/>
        <v>1.9999999998171878</v>
      </c>
      <c r="L73" s="339">
        <f t="shared" si="7"/>
        <v>1.9999999998171878</v>
      </c>
      <c r="M73" s="339">
        <f t="shared" si="7"/>
        <v>1.9999999998171878</v>
      </c>
      <c r="N73" s="339">
        <f t="shared" si="7"/>
        <v>1.9999999998171878</v>
      </c>
      <c r="O73" s="339">
        <f t="shared" si="7"/>
        <v>1.9999999998171878</v>
      </c>
    </row>
    <row r="74" spans="1:15" x14ac:dyDescent="0.25">
      <c r="A74" s="91">
        <v>56</v>
      </c>
      <c r="B74" s="327">
        <v>2073</v>
      </c>
      <c r="C74" s="344">
        <f>HLOOKUP(B74,'FT Combined ARAM Summary'!$A$5:$CJ$14,8,0)</f>
        <v>0</v>
      </c>
      <c r="D74" s="347">
        <f t="shared" si="4"/>
        <v>1.9999999998171878</v>
      </c>
      <c r="E74" s="339">
        <f t="shared" si="7"/>
        <v>1.9999999998171878</v>
      </c>
      <c r="F74" s="339">
        <f t="shared" si="7"/>
        <v>1.9999999998171878</v>
      </c>
      <c r="G74" s="339">
        <f t="shared" si="7"/>
        <v>1.9999999998171878</v>
      </c>
      <c r="H74" s="339">
        <f t="shared" si="7"/>
        <v>1.9999999998171878</v>
      </c>
      <c r="I74" s="339">
        <f t="shared" si="7"/>
        <v>1.9999999998171878</v>
      </c>
      <c r="J74" s="339">
        <f t="shared" si="7"/>
        <v>1.9999999998171878</v>
      </c>
      <c r="K74" s="339">
        <f t="shared" si="7"/>
        <v>1.9999999998171878</v>
      </c>
      <c r="L74" s="339">
        <f t="shared" si="7"/>
        <v>1.9999999998171878</v>
      </c>
      <c r="M74" s="339">
        <f t="shared" si="7"/>
        <v>1.9999999998171878</v>
      </c>
      <c r="N74" s="339">
        <f t="shared" si="7"/>
        <v>1.9999999998171878</v>
      </c>
      <c r="O74" s="339">
        <f t="shared" si="7"/>
        <v>1.9999999998171878</v>
      </c>
    </row>
    <row r="75" spans="1:15" x14ac:dyDescent="0.25">
      <c r="A75" s="91">
        <v>57</v>
      </c>
      <c r="B75" s="327">
        <v>2074</v>
      </c>
      <c r="C75" s="344">
        <f>HLOOKUP(B75,'FT Combined ARAM Summary'!$A$5:$CJ$14,8,0)</f>
        <v>0</v>
      </c>
      <c r="D75" s="347">
        <f t="shared" si="4"/>
        <v>1.9999999998171878</v>
      </c>
      <c r="E75" s="339">
        <f t="shared" si="7"/>
        <v>1.9999999998171878</v>
      </c>
      <c r="F75" s="339">
        <f t="shared" si="7"/>
        <v>1.9999999998171878</v>
      </c>
      <c r="G75" s="339">
        <f t="shared" si="7"/>
        <v>1.9999999998171878</v>
      </c>
      <c r="H75" s="339">
        <f t="shared" si="7"/>
        <v>1.9999999998171878</v>
      </c>
      <c r="I75" s="339">
        <f t="shared" si="7"/>
        <v>1.9999999998171878</v>
      </c>
      <c r="J75" s="339">
        <f t="shared" si="7"/>
        <v>1.9999999998171878</v>
      </c>
      <c r="K75" s="339">
        <f t="shared" si="7"/>
        <v>1.9999999998171878</v>
      </c>
      <c r="L75" s="339">
        <f t="shared" si="7"/>
        <v>1.9999999998171878</v>
      </c>
      <c r="M75" s="339">
        <f t="shared" si="7"/>
        <v>1.9999999998171878</v>
      </c>
      <c r="N75" s="339">
        <f t="shared" si="7"/>
        <v>1.9999999998171878</v>
      </c>
      <c r="O75" s="339">
        <f t="shared" si="7"/>
        <v>1.9999999998171878</v>
      </c>
    </row>
    <row r="76" spans="1:15" x14ac:dyDescent="0.25">
      <c r="A76" s="91">
        <v>58</v>
      </c>
      <c r="B76" s="327">
        <v>2075</v>
      </c>
      <c r="C76" s="344">
        <f>HLOOKUP(B76,'FT Combined ARAM Summary'!$A$5:$CJ$14,8,0)</f>
        <v>0</v>
      </c>
      <c r="D76" s="347">
        <f t="shared" si="4"/>
        <v>1.9999999998171878</v>
      </c>
      <c r="E76" s="339">
        <f t="shared" si="7"/>
        <v>1.9999999998171878</v>
      </c>
      <c r="F76" s="339">
        <f t="shared" si="7"/>
        <v>1.9999999998171878</v>
      </c>
      <c r="G76" s="339">
        <f t="shared" si="7"/>
        <v>1.9999999998171878</v>
      </c>
      <c r="H76" s="339">
        <f t="shared" si="7"/>
        <v>1.9999999998171878</v>
      </c>
      <c r="I76" s="339">
        <f t="shared" si="7"/>
        <v>1.9999999998171878</v>
      </c>
      <c r="J76" s="339">
        <f t="shared" si="7"/>
        <v>1.9999999998171878</v>
      </c>
      <c r="K76" s="339">
        <f t="shared" si="7"/>
        <v>1.9999999998171878</v>
      </c>
      <c r="L76" s="339">
        <f t="shared" si="7"/>
        <v>1.9999999998171878</v>
      </c>
      <c r="M76" s="339">
        <f t="shared" si="7"/>
        <v>1.9999999998171878</v>
      </c>
      <c r="N76" s="339">
        <f t="shared" si="7"/>
        <v>1.9999999998171878</v>
      </c>
      <c r="O76" s="339">
        <f t="shared" si="7"/>
        <v>1.9999999998171878</v>
      </c>
    </row>
    <row r="77" spans="1:15" x14ac:dyDescent="0.25">
      <c r="A77" s="91">
        <v>59</v>
      </c>
      <c r="B77" s="327">
        <v>2076</v>
      </c>
      <c r="C77" s="344">
        <f>HLOOKUP(B77,'FT Combined ARAM Summary'!$A$5:$CJ$14,8,0)</f>
        <v>0</v>
      </c>
      <c r="D77" s="347">
        <f t="shared" si="4"/>
        <v>1.9999999998171878</v>
      </c>
      <c r="E77" s="339">
        <f t="shared" si="7"/>
        <v>1.9999999998171878</v>
      </c>
      <c r="F77" s="339">
        <f t="shared" si="7"/>
        <v>1.9999999998171878</v>
      </c>
      <c r="G77" s="339">
        <f t="shared" si="7"/>
        <v>1.9999999998171878</v>
      </c>
      <c r="H77" s="339">
        <f t="shared" si="7"/>
        <v>1.9999999998171878</v>
      </c>
      <c r="I77" s="339">
        <f t="shared" si="7"/>
        <v>1.9999999998171878</v>
      </c>
      <c r="J77" s="339">
        <f t="shared" si="7"/>
        <v>1.9999999998171878</v>
      </c>
      <c r="K77" s="339">
        <f t="shared" si="7"/>
        <v>1.9999999998171878</v>
      </c>
      <c r="L77" s="339">
        <f t="shared" si="7"/>
        <v>1.9999999998171878</v>
      </c>
      <c r="M77" s="339">
        <f t="shared" si="7"/>
        <v>1.9999999998171878</v>
      </c>
      <c r="N77" s="339">
        <f t="shared" si="7"/>
        <v>1.9999999998171878</v>
      </c>
      <c r="O77" s="339">
        <f t="shared" si="7"/>
        <v>1.9999999998171878</v>
      </c>
    </row>
    <row r="78" spans="1:15" x14ac:dyDescent="0.25">
      <c r="A78" s="91">
        <v>60</v>
      </c>
      <c r="B78" s="327">
        <v>2077</v>
      </c>
      <c r="C78" s="344">
        <f>HLOOKUP(B78,'FT Combined ARAM Summary'!$A$5:$CJ$14,8,0)</f>
        <v>0</v>
      </c>
      <c r="D78" s="347">
        <f t="shared" si="4"/>
        <v>1.9999999998171878</v>
      </c>
      <c r="E78" s="339">
        <f t="shared" ref="E78:O93" si="8">+D78-($C78/12)</f>
        <v>1.9999999998171878</v>
      </c>
      <c r="F78" s="339">
        <f t="shared" si="8"/>
        <v>1.9999999998171878</v>
      </c>
      <c r="G78" s="339">
        <f t="shared" si="8"/>
        <v>1.9999999998171878</v>
      </c>
      <c r="H78" s="339">
        <f t="shared" si="8"/>
        <v>1.9999999998171878</v>
      </c>
      <c r="I78" s="339">
        <f t="shared" si="8"/>
        <v>1.9999999998171878</v>
      </c>
      <c r="J78" s="339">
        <f t="shared" si="8"/>
        <v>1.9999999998171878</v>
      </c>
      <c r="K78" s="339">
        <f t="shared" si="8"/>
        <v>1.9999999998171878</v>
      </c>
      <c r="L78" s="339">
        <f t="shared" si="8"/>
        <v>1.9999999998171878</v>
      </c>
      <c r="M78" s="339">
        <f t="shared" si="8"/>
        <v>1.9999999998171878</v>
      </c>
      <c r="N78" s="339">
        <f t="shared" si="8"/>
        <v>1.9999999998171878</v>
      </c>
      <c r="O78" s="339">
        <f t="shared" si="8"/>
        <v>1.9999999998171878</v>
      </c>
    </row>
    <row r="79" spans="1:15" x14ac:dyDescent="0.25">
      <c r="A79" s="91">
        <v>61</v>
      </c>
      <c r="B79" s="327">
        <v>2078</v>
      </c>
      <c r="C79" s="344">
        <f>HLOOKUP(B79,'FT Combined ARAM Summary'!$A$5:$CJ$14,8,0)</f>
        <v>0</v>
      </c>
      <c r="D79" s="347">
        <f t="shared" si="4"/>
        <v>1.9999999998171878</v>
      </c>
      <c r="E79" s="339">
        <f t="shared" si="8"/>
        <v>1.9999999998171878</v>
      </c>
      <c r="F79" s="339">
        <f t="shared" si="8"/>
        <v>1.9999999998171878</v>
      </c>
      <c r="G79" s="339">
        <f t="shared" si="8"/>
        <v>1.9999999998171878</v>
      </c>
      <c r="H79" s="339">
        <f t="shared" si="8"/>
        <v>1.9999999998171878</v>
      </c>
      <c r="I79" s="339">
        <f t="shared" si="8"/>
        <v>1.9999999998171878</v>
      </c>
      <c r="J79" s="339">
        <f t="shared" si="8"/>
        <v>1.9999999998171878</v>
      </c>
      <c r="K79" s="339">
        <f t="shared" si="8"/>
        <v>1.9999999998171878</v>
      </c>
      <c r="L79" s="339">
        <f t="shared" si="8"/>
        <v>1.9999999998171878</v>
      </c>
      <c r="M79" s="339">
        <f t="shared" si="8"/>
        <v>1.9999999998171878</v>
      </c>
      <c r="N79" s="339">
        <f t="shared" si="8"/>
        <v>1.9999999998171878</v>
      </c>
      <c r="O79" s="339">
        <f t="shared" si="8"/>
        <v>1.9999999998171878</v>
      </c>
    </row>
    <row r="80" spans="1:15" x14ac:dyDescent="0.25">
      <c r="A80" s="91">
        <v>62</v>
      </c>
      <c r="B80" s="327">
        <v>2079</v>
      </c>
      <c r="C80" s="344">
        <f>HLOOKUP(B80,'FT Combined ARAM Summary'!$A$5:$CJ$14,8,0)</f>
        <v>0</v>
      </c>
      <c r="D80" s="347">
        <f t="shared" si="4"/>
        <v>1.9999999998171878</v>
      </c>
      <c r="E80" s="339">
        <f t="shared" si="8"/>
        <v>1.9999999998171878</v>
      </c>
      <c r="F80" s="339">
        <f t="shared" si="8"/>
        <v>1.9999999998171878</v>
      </c>
      <c r="G80" s="339">
        <f t="shared" si="8"/>
        <v>1.9999999998171878</v>
      </c>
      <c r="H80" s="339">
        <f t="shared" si="8"/>
        <v>1.9999999998171878</v>
      </c>
      <c r="I80" s="339">
        <f t="shared" si="8"/>
        <v>1.9999999998171878</v>
      </c>
      <c r="J80" s="339">
        <f t="shared" si="8"/>
        <v>1.9999999998171878</v>
      </c>
      <c r="K80" s="339">
        <f t="shared" si="8"/>
        <v>1.9999999998171878</v>
      </c>
      <c r="L80" s="339">
        <f t="shared" si="8"/>
        <v>1.9999999998171878</v>
      </c>
      <c r="M80" s="339">
        <f t="shared" si="8"/>
        <v>1.9999999998171878</v>
      </c>
      <c r="N80" s="339">
        <f t="shared" si="8"/>
        <v>1.9999999998171878</v>
      </c>
      <c r="O80" s="339">
        <f t="shared" si="8"/>
        <v>1.9999999998171878</v>
      </c>
    </row>
    <row r="81" spans="1:15" x14ac:dyDescent="0.25">
      <c r="A81" s="91">
        <v>63</v>
      </c>
      <c r="B81" s="327">
        <v>2080</v>
      </c>
      <c r="C81" s="344">
        <f>HLOOKUP(B81,'FT Combined ARAM Summary'!$A$5:$CJ$14,8,0)</f>
        <v>0</v>
      </c>
      <c r="D81" s="347">
        <f t="shared" si="4"/>
        <v>1.9999999998171878</v>
      </c>
      <c r="E81" s="339">
        <f t="shared" si="8"/>
        <v>1.9999999998171878</v>
      </c>
      <c r="F81" s="339">
        <f t="shared" si="8"/>
        <v>1.9999999998171878</v>
      </c>
      <c r="G81" s="339">
        <f t="shared" si="8"/>
        <v>1.9999999998171878</v>
      </c>
      <c r="H81" s="339">
        <f t="shared" si="8"/>
        <v>1.9999999998171878</v>
      </c>
      <c r="I81" s="339">
        <f t="shared" si="8"/>
        <v>1.9999999998171878</v>
      </c>
      <c r="J81" s="339">
        <f t="shared" si="8"/>
        <v>1.9999999998171878</v>
      </c>
      <c r="K81" s="339">
        <f t="shared" si="8"/>
        <v>1.9999999998171878</v>
      </c>
      <c r="L81" s="339">
        <f t="shared" si="8"/>
        <v>1.9999999998171878</v>
      </c>
      <c r="M81" s="339">
        <f t="shared" si="8"/>
        <v>1.9999999998171878</v>
      </c>
      <c r="N81" s="339">
        <f t="shared" si="8"/>
        <v>1.9999999998171878</v>
      </c>
      <c r="O81" s="339">
        <f t="shared" si="8"/>
        <v>1.9999999998171878</v>
      </c>
    </row>
    <row r="82" spans="1:15" x14ac:dyDescent="0.25">
      <c r="A82" s="91">
        <v>64</v>
      </c>
      <c r="B82" s="327">
        <v>2081</v>
      </c>
      <c r="C82" s="344">
        <f>HLOOKUP(B82,'FT Combined ARAM Summary'!$A$5:$CJ$14,8,0)</f>
        <v>0</v>
      </c>
      <c r="D82" s="347">
        <f t="shared" si="4"/>
        <v>1.9999999998171878</v>
      </c>
      <c r="E82" s="339">
        <f t="shared" si="8"/>
        <v>1.9999999998171878</v>
      </c>
      <c r="F82" s="339">
        <f t="shared" si="8"/>
        <v>1.9999999998171878</v>
      </c>
      <c r="G82" s="339">
        <f t="shared" si="8"/>
        <v>1.9999999998171878</v>
      </c>
      <c r="H82" s="339">
        <f t="shared" si="8"/>
        <v>1.9999999998171878</v>
      </c>
      <c r="I82" s="339">
        <f t="shared" si="8"/>
        <v>1.9999999998171878</v>
      </c>
      <c r="J82" s="339">
        <f t="shared" si="8"/>
        <v>1.9999999998171878</v>
      </c>
      <c r="K82" s="339">
        <f t="shared" si="8"/>
        <v>1.9999999998171878</v>
      </c>
      <c r="L82" s="339">
        <f t="shared" si="8"/>
        <v>1.9999999998171878</v>
      </c>
      <c r="M82" s="339">
        <f t="shared" si="8"/>
        <v>1.9999999998171878</v>
      </c>
      <c r="N82" s="339">
        <f t="shared" si="8"/>
        <v>1.9999999998171878</v>
      </c>
      <c r="O82" s="339">
        <f t="shared" si="8"/>
        <v>1.9999999998171878</v>
      </c>
    </row>
    <row r="83" spans="1:15" x14ac:dyDescent="0.25">
      <c r="A83" s="91">
        <v>65</v>
      </c>
      <c r="B83" s="327">
        <v>2082</v>
      </c>
      <c r="C83" s="344">
        <f>HLOOKUP(B83,'FT Combined ARAM Summary'!$A$5:$CJ$14,8,0)</f>
        <v>0</v>
      </c>
      <c r="D83" s="347">
        <f t="shared" si="4"/>
        <v>1.9999999998171878</v>
      </c>
      <c r="E83" s="339">
        <f t="shared" si="8"/>
        <v>1.9999999998171878</v>
      </c>
      <c r="F83" s="339">
        <f t="shared" si="8"/>
        <v>1.9999999998171878</v>
      </c>
      <c r="G83" s="339">
        <f t="shared" si="8"/>
        <v>1.9999999998171878</v>
      </c>
      <c r="H83" s="339">
        <f t="shared" si="8"/>
        <v>1.9999999998171878</v>
      </c>
      <c r="I83" s="339">
        <f t="shared" si="8"/>
        <v>1.9999999998171878</v>
      </c>
      <c r="J83" s="339">
        <f t="shared" si="8"/>
        <v>1.9999999998171878</v>
      </c>
      <c r="K83" s="339">
        <f t="shared" si="8"/>
        <v>1.9999999998171878</v>
      </c>
      <c r="L83" s="339">
        <f t="shared" si="8"/>
        <v>1.9999999998171878</v>
      </c>
      <c r="M83" s="339">
        <f t="shared" si="8"/>
        <v>1.9999999998171878</v>
      </c>
      <c r="N83" s="339">
        <f t="shared" si="8"/>
        <v>1.9999999998171878</v>
      </c>
      <c r="O83" s="339">
        <f t="shared" si="8"/>
        <v>1.9999999998171878</v>
      </c>
    </row>
    <row r="84" spans="1:15" x14ac:dyDescent="0.25">
      <c r="A84" s="91">
        <v>66</v>
      </c>
      <c r="B84" s="327">
        <v>2083</v>
      </c>
      <c r="C84" s="344">
        <f>HLOOKUP(B84,'FT Combined ARAM Summary'!$A$5:$CJ$14,8,0)</f>
        <v>0</v>
      </c>
      <c r="D84" s="347">
        <f t="shared" si="4"/>
        <v>1.9999999998171878</v>
      </c>
      <c r="E84" s="339">
        <f t="shared" si="8"/>
        <v>1.9999999998171878</v>
      </c>
      <c r="F84" s="339">
        <f t="shared" si="8"/>
        <v>1.9999999998171878</v>
      </c>
      <c r="G84" s="339">
        <f t="shared" si="8"/>
        <v>1.9999999998171878</v>
      </c>
      <c r="H84" s="339">
        <f t="shared" si="8"/>
        <v>1.9999999998171878</v>
      </c>
      <c r="I84" s="339">
        <f t="shared" si="8"/>
        <v>1.9999999998171878</v>
      </c>
      <c r="J84" s="339">
        <f t="shared" si="8"/>
        <v>1.9999999998171878</v>
      </c>
      <c r="K84" s="339">
        <f t="shared" si="8"/>
        <v>1.9999999998171878</v>
      </c>
      <c r="L84" s="339">
        <f t="shared" si="8"/>
        <v>1.9999999998171878</v>
      </c>
      <c r="M84" s="339">
        <f t="shared" si="8"/>
        <v>1.9999999998171878</v>
      </c>
      <c r="N84" s="339">
        <f t="shared" si="8"/>
        <v>1.9999999998171878</v>
      </c>
      <c r="O84" s="339">
        <f t="shared" si="8"/>
        <v>1.9999999998171878</v>
      </c>
    </row>
    <row r="85" spans="1:15" x14ac:dyDescent="0.25">
      <c r="A85" s="91">
        <v>67</v>
      </c>
      <c r="B85" s="327">
        <v>2084</v>
      </c>
      <c r="C85" s="344">
        <f>HLOOKUP(B85,'FT Combined ARAM Summary'!$A$5:$CJ$14,8,0)</f>
        <v>0</v>
      </c>
      <c r="D85" s="347">
        <f t="shared" si="4"/>
        <v>1.9999999998171878</v>
      </c>
      <c r="E85" s="339">
        <f t="shared" si="8"/>
        <v>1.9999999998171878</v>
      </c>
      <c r="F85" s="339">
        <f t="shared" si="8"/>
        <v>1.9999999998171878</v>
      </c>
      <c r="G85" s="339">
        <f t="shared" si="8"/>
        <v>1.9999999998171878</v>
      </c>
      <c r="H85" s="339">
        <f t="shared" si="8"/>
        <v>1.9999999998171878</v>
      </c>
      <c r="I85" s="339">
        <f t="shared" si="8"/>
        <v>1.9999999998171878</v>
      </c>
      <c r="J85" s="339">
        <f t="shared" si="8"/>
        <v>1.9999999998171878</v>
      </c>
      <c r="K85" s="339">
        <f t="shared" si="8"/>
        <v>1.9999999998171878</v>
      </c>
      <c r="L85" s="339">
        <f t="shared" si="8"/>
        <v>1.9999999998171878</v>
      </c>
      <c r="M85" s="339">
        <f t="shared" si="8"/>
        <v>1.9999999998171878</v>
      </c>
      <c r="N85" s="339">
        <f t="shared" si="8"/>
        <v>1.9999999998171878</v>
      </c>
      <c r="O85" s="339">
        <f t="shared" si="8"/>
        <v>1.9999999998171878</v>
      </c>
    </row>
    <row r="86" spans="1:15" x14ac:dyDescent="0.25">
      <c r="A86" s="91">
        <v>68</v>
      </c>
      <c r="B86" s="327">
        <v>2085</v>
      </c>
      <c r="C86" s="344">
        <f>HLOOKUP(B86,'FT Combined ARAM Summary'!$A$5:$CJ$14,8,0)</f>
        <v>0</v>
      </c>
      <c r="D86" s="347">
        <f t="shared" si="4"/>
        <v>1.9999999998171878</v>
      </c>
      <c r="E86" s="339">
        <f t="shared" si="8"/>
        <v>1.9999999998171878</v>
      </c>
      <c r="F86" s="339">
        <f t="shared" si="8"/>
        <v>1.9999999998171878</v>
      </c>
      <c r="G86" s="339">
        <f t="shared" si="8"/>
        <v>1.9999999998171878</v>
      </c>
      <c r="H86" s="339">
        <f t="shared" si="8"/>
        <v>1.9999999998171878</v>
      </c>
      <c r="I86" s="339">
        <f t="shared" si="8"/>
        <v>1.9999999998171878</v>
      </c>
      <c r="J86" s="339">
        <f t="shared" si="8"/>
        <v>1.9999999998171878</v>
      </c>
      <c r="K86" s="339">
        <f t="shared" si="8"/>
        <v>1.9999999998171878</v>
      </c>
      <c r="L86" s="339">
        <f t="shared" si="8"/>
        <v>1.9999999998171878</v>
      </c>
      <c r="M86" s="339">
        <f t="shared" si="8"/>
        <v>1.9999999998171878</v>
      </c>
      <c r="N86" s="339">
        <f t="shared" si="8"/>
        <v>1.9999999998171878</v>
      </c>
      <c r="O86" s="339">
        <f t="shared" si="8"/>
        <v>1.9999999998171878</v>
      </c>
    </row>
    <row r="87" spans="1:15" x14ac:dyDescent="0.25">
      <c r="A87" s="91">
        <v>69</v>
      </c>
      <c r="B87" s="327">
        <v>2086</v>
      </c>
      <c r="C87" s="344">
        <f>HLOOKUP(B87,'FT Combined ARAM Summary'!$A$5:$CJ$14,8,0)</f>
        <v>0</v>
      </c>
      <c r="D87" s="347">
        <f t="shared" si="4"/>
        <v>1.9999999998171878</v>
      </c>
      <c r="E87" s="339">
        <f t="shared" si="8"/>
        <v>1.9999999998171878</v>
      </c>
      <c r="F87" s="339">
        <f t="shared" si="8"/>
        <v>1.9999999998171878</v>
      </c>
      <c r="G87" s="339">
        <f t="shared" si="8"/>
        <v>1.9999999998171878</v>
      </c>
      <c r="H87" s="339">
        <f t="shared" si="8"/>
        <v>1.9999999998171878</v>
      </c>
      <c r="I87" s="339">
        <f t="shared" si="8"/>
        <v>1.9999999998171878</v>
      </c>
      <c r="J87" s="339">
        <f t="shared" si="8"/>
        <v>1.9999999998171878</v>
      </c>
      <c r="K87" s="339">
        <f t="shared" si="8"/>
        <v>1.9999999998171878</v>
      </c>
      <c r="L87" s="339">
        <f t="shared" si="8"/>
        <v>1.9999999998171878</v>
      </c>
      <c r="M87" s="339">
        <f t="shared" si="8"/>
        <v>1.9999999998171878</v>
      </c>
      <c r="N87" s="339">
        <f t="shared" si="8"/>
        <v>1.9999999998171878</v>
      </c>
      <c r="O87" s="339">
        <f t="shared" si="8"/>
        <v>1.9999999998171878</v>
      </c>
    </row>
    <row r="88" spans="1:15" x14ac:dyDescent="0.25">
      <c r="A88" s="91">
        <v>70</v>
      </c>
      <c r="B88" s="327">
        <v>2087</v>
      </c>
      <c r="C88" s="344">
        <f>HLOOKUP(B88,'FT Combined ARAM Summary'!$A$5:$CJ$14,8,0)</f>
        <v>0</v>
      </c>
      <c r="D88" s="347">
        <f t="shared" si="4"/>
        <v>1.9999999998171878</v>
      </c>
      <c r="E88" s="339">
        <f t="shared" si="8"/>
        <v>1.9999999998171878</v>
      </c>
      <c r="F88" s="339">
        <f t="shared" si="8"/>
        <v>1.9999999998171878</v>
      </c>
      <c r="G88" s="339">
        <f t="shared" si="8"/>
        <v>1.9999999998171878</v>
      </c>
      <c r="H88" s="339">
        <f t="shared" si="8"/>
        <v>1.9999999998171878</v>
      </c>
      <c r="I88" s="339">
        <f t="shared" si="8"/>
        <v>1.9999999998171878</v>
      </c>
      <c r="J88" s="339">
        <f t="shared" si="8"/>
        <v>1.9999999998171878</v>
      </c>
      <c r="K88" s="339">
        <f t="shared" si="8"/>
        <v>1.9999999998171878</v>
      </c>
      <c r="L88" s="339">
        <f t="shared" si="8"/>
        <v>1.9999999998171878</v>
      </c>
      <c r="M88" s="339">
        <f t="shared" si="8"/>
        <v>1.9999999998171878</v>
      </c>
      <c r="N88" s="339">
        <f t="shared" si="8"/>
        <v>1.9999999998171878</v>
      </c>
      <c r="O88" s="339">
        <f t="shared" si="8"/>
        <v>1.9999999998171878</v>
      </c>
    </row>
    <row r="89" spans="1:15" x14ac:dyDescent="0.25">
      <c r="A89" s="91">
        <v>71</v>
      </c>
      <c r="B89" s="327">
        <v>2088</v>
      </c>
      <c r="C89" s="344">
        <f>HLOOKUP(B89,'FT Combined ARAM Summary'!$A$5:$CJ$14,8,0)</f>
        <v>0</v>
      </c>
      <c r="D89" s="347">
        <f t="shared" si="4"/>
        <v>1.9999999998171878</v>
      </c>
      <c r="E89" s="339">
        <f t="shared" si="8"/>
        <v>1.9999999998171878</v>
      </c>
      <c r="F89" s="339">
        <f t="shared" si="8"/>
        <v>1.9999999998171878</v>
      </c>
      <c r="G89" s="339">
        <f t="shared" si="8"/>
        <v>1.9999999998171878</v>
      </c>
      <c r="H89" s="339">
        <f t="shared" si="8"/>
        <v>1.9999999998171878</v>
      </c>
      <c r="I89" s="339">
        <f t="shared" si="8"/>
        <v>1.9999999998171878</v>
      </c>
      <c r="J89" s="339">
        <f t="shared" si="8"/>
        <v>1.9999999998171878</v>
      </c>
      <c r="K89" s="339">
        <f t="shared" si="8"/>
        <v>1.9999999998171878</v>
      </c>
      <c r="L89" s="339">
        <f t="shared" si="8"/>
        <v>1.9999999998171878</v>
      </c>
      <c r="M89" s="339">
        <f t="shared" si="8"/>
        <v>1.9999999998171878</v>
      </c>
      <c r="N89" s="339">
        <f t="shared" si="8"/>
        <v>1.9999999998171878</v>
      </c>
      <c r="O89" s="339">
        <f t="shared" si="8"/>
        <v>1.9999999998171878</v>
      </c>
    </row>
    <row r="90" spans="1:15" x14ac:dyDescent="0.25">
      <c r="A90" s="91">
        <v>72</v>
      </c>
      <c r="B90" s="327">
        <v>2089</v>
      </c>
      <c r="C90" s="344">
        <f>HLOOKUP(B90,'FT Combined ARAM Summary'!$A$5:$CJ$14,8,0)</f>
        <v>0</v>
      </c>
      <c r="D90" s="347">
        <f t="shared" si="4"/>
        <v>1.9999999998171878</v>
      </c>
      <c r="E90" s="339">
        <f t="shared" si="8"/>
        <v>1.9999999998171878</v>
      </c>
      <c r="F90" s="339">
        <f t="shared" si="8"/>
        <v>1.9999999998171878</v>
      </c>
      <c r="G90" s="339">
        <f t="shared" si="8"/>
        <v>1.9999999998171878</v>
      </c>
      <c r="H90" s="339">
        <f t="shared" si="8"/>
        <v>1.9999999998171878</v>
      </c>
      <c r="I90" s="339">
        <f t="shared" si="8"/>
        <v>1.9999999998171878</v>
      </c>
      <c r="J90" s="339">
        <f t="shared" si="8"/>
        <v>1.9999999998171878</v>
      </c>
      <c r="K90" s="339">
        <f t="shared" si="8"/>
        <v>1.9999999998171878</v>
      </c>
      <c r="L90" s="339">
        <f t="shared" si="8"/>
        <v>1.9999999998171878</v>
      </c>
      <c r="M90" s="339">
        <f t="shared" si="8"/>
        <v>1.9999999998171878</v>
      </c>
      <c r="N90" s="339">
        <f t="shared" si="8"/>
        <v>1.9999999998171878</v>
      </c>
      <c r="O90" s="339">
        <f t="shared" si="8"/>
        <v>1.9999999998171878</v>
      </c>
    </row>
    <row r="91" spans="1:15" x14ac:dyDescent="0.25">
      <c r="A91" s="91">
        <v>73</v>
      </c>
      <c r="B91" s="327">
        <v>2090</v>
      </c>
      <c r="C91" s="344">
        <f>HLOOKUP(B91,'FT Combined ARAM Summary'!$A$5:$CJ$14,8,0)</f>
        <v>0</v>
      </c>
      <c r="D91" s="347">
        <f t="shared" si="4"/>
        <v>1.9999999998171878</v>
      </c>
      <c r="E91" s="339">
        <f t="shared" si="8"/>
        <v>1.9999999998171878</v>
      </c>
      <c r="F91" s="339">
        <f t="shared" si="8"/>
        <v>1.9999999998171878</v>
      </c>
      <c r="G91" s="339">
        <f t="shared" si="8"/>
        <v>1.9999999998171878</v>
      </c>
      <c r="H91" s="339">
        <f t="shared" si="8"/>
        <v>1.9999999998171878</v>
      </c>
      <c r="I91" s="339">
        <f t="shared" si="8"/>
        <v>1.9999999998171878</v>
      </c>
      <c r="J91" s="339">
        <f t="shared" si="8"/>
        <v>1.9999999998171878</v>
      </c>
      <c r="K91" s="339">
        <f t="shared" si="8"/>
        <v>1.9999999998171878</v>
      </c>
      <c r="L91" s="339">
        <f t="shared" si="8"/>
        <v>1.9999999998171878</v>
      </c>
      <c r="M91" s="339">
        <f t="shared" si="8"/>
        <v>1.9999999998171878</v>
      </c>
      <c r="N91" s="339">
        <f t="shared" si="8"/>
        <v>1.9999999998171878</v>
      </c>
      <c r="O91" s="339">
        <f t="shared" si="8"/>
        <v>1.9999999998171878</v>
      </c>
    </row>
    <row r="92" spans="1:15" x14ac:dyDescent="0.25">
      <c r="A92" s="91">
        <v>74</v>
      </c>
      <c r="B92" s="327">
        <v>2091</v>
      </c>
      <c r="C92" s="344">
        <f>HLOOKUP(B92,'FT Combined ARAM Summary'!$A$5:$CJ$14,8,0)</f>
        <v>0</v>
      </c>
      <c r="D92" s="347">
        <f t="shared" si="4"/>
        <v>1.9999999998171878</v>
      </c>
      <c r="E92" s="339">
        <f t="shared" si="8"/>
        <v>1.9999999998171878</v>
      </c>
      <c r="F92" s="339">
        <f t="shared" si="8"/>
        <v>1.9999999998171878</v>
      </c>
      <c r="G92" s="339">
        <f t="shared" si="8"/>
        <v>1.9999999998171878</v>
      </c>
      <c r="H92" s="339">
        <f t="shared" si="8"/>
        <v>1.9999999998171878</v>
      </c>
      <c r="I92" s="339">
        <f t="shared" si="8"/>
        <v>1.9999999998171878</v>
      </c>
      <c r="J92" s="339">
        <f t="shared" si="8"/>
        <v>1.9999999998171878</v>
      </c>
      <c r="K92" s="339">
        <f t="shared" si="8"/>
        <v>1.9999999998171878</v>
      </c>
      <c r="L92" s="339">
        <f t="shared" si="8"/>
        <v>1.9999999998171878</v>
      </c>
      <c r="M92" s="339">
        <f t="shared" si="8"/>
        <v>1.9999999998171878</v>
      </c>
      <c r="N92" s="339">
        <f t="shared" si="8"/>
        <v>1.9999999998171878</v>
      </c>
      <c r="O92" s="339">
        <f t="shared" si="8"/>
        <v>1.9999999998171878</v>
      </c>
    </row>
    <row r="93" spans="1:15" x14ac:dyDescent="0.25">
      <c r="A93" s="91">
        <v>75</v>
      </c>
      <c r="B93" s="327">
        <v>2092</v>
      </c>
      <c r="C93" s="344">
        <f>HLOOKUP(B93,'FT Combined ARAM Summary'!$A$5:$CJ$14,8,0)</f>
        <v>0</v>
      </c>
      <c r="D93" s="347">
        <f t="shared" si="4"/>
        <v>1.9999999998171878</v>
      </c>
      <c r="E93" s="339">
        <f t="shared" si="8"/>
        <v>1.9999999998171878</v>
      </c>
      <c r="F93" s="339">
        <f t="shared" si="8"/>
        <v>1.9999999998171878</v>
      </c>
      <c r="G93" s="339">
        <f t="shared" si="8"/>
        <v>1.9999999998171878</v>
      </c>
      <c r="H93" s="339">
        <f t="shared" si="8"/>
        <v>1.9999999998171878</v>
      </c>
      <c r="I93" s="339">
        <f t="shared" si="8"/>
        <v>1.9999999998171878</v>
      </c>
      <c r="J93" s="339">
        <f t="shared" si="8"/>
        <v>1.9999999998171878</v>
      </c>
      <c r="K93" s="339">
        <f t="shared" si="8"/>
        <v>1.9999999998171878</v>
      </c>
      <c r="L93" s="339">
        <f t="shared" si="8"/>
        <v>1.9999999998171878</v>
      </c>
      <c r="M93" s="339">
        <f t="shared" si="8"/>
        <v>1.9999999998171878</v>
      </c>
      <c r="N93" s="339">
        <f t="shared" si="8"/>
        <v>1.9999999998171878</v>
      </c>
      <c r="O93" s="339">
        <f t="shared" si="8"/>
        <v>1.9999999998171878</v>
      </c>
    </row>
    <row r="94" spans="1:15" x14ac:dyDescent="0.25">
      <c r="A94" s="91">
        <v>76</v>
      </c>
      <c r="B94" s="327">
        <v>2093</v>
      </c>
      <c r="C94" s="344">
        <f>HLOOKUP(B94,'FT Combined ARAM Summary'!$A$5:$CJ$14,8,0)</f>
        <v>0</v>
      </c>
      <c r="D94" s="347">
        <f t="shared" ref="D94:D101" si="9">+O93-($C94/12)</f>
        <v>1.9999999998171878</v>
      </c>
      <c r="E94" s="339">
        <f t="shared" ref="E94:O101" si="10">+D94-($C94/12)</f>
        <v>1.9999999998171878</v>
      </c>
      <c r="F94" s="339">
        <f t="shared" si="10"/>
        <v>1.9999999998171878</v>
      </c>
      <c r="G94" s="339">
        <f t="shared" si="10"/>
        <v>1.9999999998171878</v>
      </c>
      <c r="H94" s="339">
        <f t="shared" si="10"/>
        <v>1.9999999998171878</v>
      </c>
      <c r="I94" s="339">
        <f t="shared" si="10"/>
        <v>1.9999999998171878</v>
      </c>
      <c r="J94" s="339">
        <f t="shared" si="10"/>
        <v>1.9999999998171878</v>
      </c>
      <c r="K94" s="339">
        <f t="shared" si="10"/>
        <v>1.9999999998171878</v>
      </c>
      <c r="L94" s="339">
        <f t="shared" si="10"/>
        <v>1.9999999998171878</v>
      </c>
      <c r="M94" s="339">
        <f t="shared" si="10"/>
        <v>1.9999999998171878</v>
      </c>
      <c r="N94" s="339">
        <f t="shared" si="10"/>
        <v>1.9999999998171878</v>
      </c>
      <c r="O94" s="339">
        <f t="shared" si="10"/>
        <v>1.9999999998171878</v>
      </c>
    </row>
    <row r="95" spans="1:15" x14ac:dyDescent="0.25">
      <c r="A95" s="91">
        <v>77</v>
      </c>
      <c r="B95" s="327">
        <v>2094</v>
      </c>
      <c r="C95" s="344">
        <f>HLOOKUP(B95,'FT Combined ARAM Summary'!$A$5:$CJ$14,8,0)</f>
        <v>0</v>
      </c>
      <c r="D95" s="347">
        <f t="shared" si="9"/>
        <v>1.9999999998171878</v>
      </c>
      <c r="E95" s="339">
        <f t="shared" si="10"/>
        <v>1.9999999998171878</v>
      </c>
      <c r="F95" s="339">
        <f t="shared" si="10"/>
        <v>1.9999999998171878</v>
      </c>
      <c r="G95" s="339">
        <f t="shared" si="10"/>
        <v>1.9999999998171878</v>
      </c>
      <c r="H95" s="339">
        <f t="shared" si="10"/>
        <v>1.9999999998171878</v>
      </c>
      <c r="I95" s="339">
        <f t="shared" si="10"/>
        <v>1.9999999998171878</v>
      </c>
      <c r="J95" s="339">
        <f t="shared" si="10"/>
        <v>1.9999999998171878</v>
      </c>
      <c r="K95" s="339">
        <f t="shared" si="10"/>
        <v>1.9999999998171878</v>
      </c>
      <c r="L95" s="339">
        <f t="shared" si="10"/>
        <v>1.9999999998171878</v>
      </c>
      <c r="M95" s="339">
        <f t="shared" si="10"/>
        <v>1.9999999998171878</v>
      </c>
      <c r="N95" s="339">
        <f t="shared" si="10"/>
        <v>1.9999999998171878</v>
      </c>
      <c r="O95" s="339">
        <f t="shared" si="10"/>
        <v>1.9999999998171878</v>
      </c>
    </row>
    <row r="96" spans="1:15" x14ac:dyDescent="0.25">
      <c r="A96" s="91">
        <v>78</v>
      </c>
      <c r="B96" s="327">
        <v>2095</v>
      </c>
      <c r="C96" s="344">
        <f>HLOOKUP(B96,'FT Combined ARAM Summary'!$A$5:$CJ$14,8,0)</f>
        <v>0</v>
      </c>
      <c r="D96" s="347">
        <f t="shared" si="9"/>
        <v>1.9999999998171878</v>
      </c>
      <c r="E96" s="339">
        <f t="shared" si="10"/>
        <v>1.9999999998171878</v>
      </c>
      <c r="F96" s="339">
        <f t="shared" si="10"/>
        <v>1.9999999998171878</v>
      </c>
      <c r="G96" s="339">
        <f t="shared" si="10"/>
        <v>1.9999999998171878</v>
      </c>
      <c r="H96" s="339">
        <f t="shared" si="10"/>
        <v>1.9999999998171878</v>
      </c>
      <c r="I96" s="339">
        <f t="shared" si="10"/>
        <v>1.9999999998171878</v>
      </c>
      <c r="J96" s="339">
        <f t="shared" si="10"/>
        <v>1.9999999998171878</v>
      </c>
      <c r="K96" s="339">
        <f t="shared" si="10"/>
        <v>1.9999999998171878</v>
      </c>
      <c r="L96" s="339">
        <f t="shared" si="10"/>
        <v>1.9999999998171878</v>
      </c>
      <c r="M96" s="339">
        <f t="shared" si="10"/>
        <v>1.9999999998171878</v>
      </c>
      <c r="N96" s="339">
        <f t="shared" si="10"/>
        <v>1.9999999998171878</v>
      </c>
      <c r="O96" s="339">
        <f t="shared" si="10"/>
        <v>1.9999999998171878</v>
      </c>
    </row>
    <row r="97" spans="1:15" x14ac:dyDescent="0.25">
      <c r="A97" s="91">
        <v>79</v>
      </c>
      <c r="B97" s="327">
        <v>2096</v>
      </c>
      <c r="C97" s="344">
        <f>HLOOKUP(B97,'FT Combined ARAM Summary'!$A$5:$CJ$14,8,0)</f>
        <v>0</v>
      </c>
      <c r="D97" s="347">
        <f t="shared" si="9"/>
        <v>1.9999999998171878</v>
      </c>
      <c r="E97" s="339">
        <f t="shared" si="10"/>
        <v>1.9999999998171878</v>
      </c>
      <c r="F97" s="339">
        <f t="shared" si="10"/>
        <v>1.9999999998171878</v>
      </c>
      <c r="G97" s="339">
        <f t="shared" si="10"/>
        <v>1.9999999998171878</v>
      </c>
      <c r="H97" s="339">
        <f t="shared" si="10"/>
        <v>1.9999999998171878</v>
      </c>
      <c r="I97" s="339">
        <f t="shared" si="10"/>
        <v>1.9999999998171878</v>
      </c>
      <c r="J97" s="339">
        <f t="shared" si="10"/>
        <v>1.9999999998171878</v>
      </c>
      <c r="K97" s="339">
        <f t="shared" si="10"/>
        <v>1.9999999998171878</v>
      </c>
      <c r="L97" s="339">
        <f t="shared" si="10"/>
        <v>1.9999999998171878</v>
      </c>
      <c r="M97" s="339">
        <f t="shared" si="10"/>
        <v>1.9999999998171878</v>
      </c>
      <c r="N97" s="339">
        <f t="shared" si="10"/>
        <v>1.9999999998171878</v>
      </c>
      <c r="O97" s="339">
        <f t="shared" si="10"/>
        <v>1.9999999998171878</v>
      </c>
    </row>
    <row r="98" spans="1:15" x14ac:dyDescent="0.25">
      <c r="A98" s="91">
        <v>80</v>
      </c>
      <c r="B98" s="327">
        <v>2097</v>
      </c>
      <c r="C98" s="344">
        <f>HLOOKUP(B98,'FT Combined ARAM Summary'!$A$5:$CJ$14,8,0)</f>
        <v>0</v>
      </c>
      <c r="D98" s="347">
        <f t="shared" si="9"/>
        <v>1.9999999998171878</v>
      </c>
      <c r="E98" s="339">
        <f t="shared" si="10"/>
        <v>1.9999999998171878</v>
      </c>
      <c r="F98" s="339">
        <f t="shared" si="10"/>
        <v>1.9999999998171878</v>
      </c>
      <c r="G98" s="339">
        <f t="shared" si="10"/>
        <v>1.9999999998171878</v>
      </c>
      <c r="H98" s="339">
        <f t="shared" si="10"/>
        <v>1.9999999998171878</v>
      </c>
      <c r="I98" s="339">
        <f t="shared" si="10"/>
        <v>1.9999999998171878</v>
      </c>
      <c r="J98" s="339">
        <f t="shared" si="10"/>
        <v>1.9999999998171878</v>
      </c>
      <c r="K98" s="339">
        <f t="shared" si="10"/>
        <v>1.9999999998171878</v>
      </c>
      <c r="L98" s="339">
        <f t="shared" si="10"/>
        <v>1.9999999998171878</v>
      </c>
      <c r="M98" s="339">
        <f t="shared" si="10"/>
        <v>1.9999999998171878</v>
      </c>
      <c r="N98" s="339">
        <f t="shared" si="10"/>
        <v>1.9999999998171878</v>
      </c>
      <c r="O98" s="339">
        <f t="shared" si="10"/>
        <v>1.9999999998171878</v>
      </c>
    </row>
    <row r="99" spans="1:15" x14ac:dyDescent="0.25">
      <c r="A99" s="91">
        <v>81</v>
      </c>
      <c r="B99" s="327">
        <v>2098</v>
      </c>
      <c r="C99" s="344">
        <f>HLOOKUP(B99,'FT Combined ARAM Summary'!$A$5:$CJ$14,8,0)</f>
        <v>0</v>
      </c>
      <c r="D99" s="347">
        <f t="shared" si="9"/>
        <v>1.9999999998171878</v>
      </c>
      <c r="E99" s="339">
        <f t="shared" si="10"/>
        <v>1.9999999998171878</v>
      </c>
      <c r="F99" s="339">
        <f t="shared" si="10"/>
        <v>1.9999999998171878</v>
      </c>
      <c r="G99" s="339">
        <f t="shared" si="10"/>
        <v>1.9999999998171878</v>
      </c>
      <c r="H99" s="339">
        <f t="shared" si="10"/>
        <v>1.9999999998171878</v>
      </c>
      <c r="I99" s="339">
        <f t="shared" si="10"/>
        <v>1.9999999998171878</v>
      </c>
      <c r="J99" s="339">
        <f t="shared" si="10"/>
        <v>1.9999999998171878</v>
      </c>
      <c r="K99" s="339">
        <f t="shared" si="10"/>
        <v>1.9999999998171878</v>
      </c>
      <c r="L99" s="339">
        <f t="shared" si="10"/>
        <v>1.9999999998171878</v>
      </c>
      <c r="M99" s="339">
        <f t="shared" si="10"/>
        <v>1.9999999998171878</v>
      </c>
      <c r="N99" s="339">
        <f t="shared" si="10"/>
        <v>1.9999999998171878</v>
      </c>
      <c r="O99" s="339">
        <f t="shared" si="10"/>
        <v>1.9999999998171878</v>
      </c>
    </row>
    <row r="100" spans="1:15" x14ac:dyDescent="0.25">
      <c r="A100" s="91">
        <v>82</v>
      </c>
      <c r="B100" s="327">
        <v>2099</v>
      </c>
      <c r="C100" s="344">
        <f>HLOOKUP(B100,'FT Combined ARAM Summary'!$A$5:$CJ$14,8,0)</f>
        <v>0</v>
      </c>
      <c r="D100" s="347">
        <f t="shared" si="9"/>
        <v>1.9999999998171878</v>
      </c>
      <c r="E100" s="339">
        <f t="shared" si="10"/>
        <v>1.9999999998171878</v>
      </c>
      <c r="F100" s="339">
        <f t="shared" si="10"/>
        <v>1.9999999998171878</v>
      </c>
      <c r="G100" s="339">
        <f t="shared" si="10"/>
        <v>1.9999999998171878</v>
      </c>
      <c r="H100" s="339">
        <f t="shared" si="10"/>
        <v>1.9999999998171878</v>
      </c>
      <c r="I100" s="339">
        <f t="shared" si="10"/>
        <v>1.9999999998171878</v>
      </c>
      <c r="J100" s="339">
        <f t="shared" si="10"/>
        <v>1.9999999998171878</v>
      </c>
      <c r="K100" s="339">
        <f t="shared" si="10"/>
        <v>1.9999999998171878</v>
      </c>
      <c r="L100" s="339">
        <f t="shared" si="10"/>
        <v>1.9999999998171878</v>
      </c>
      <c r="M100" s="339">
        <f t="shared" si="10"/>
        <v>1.9999999998171878</v>
      </c>
      <c r="N100" s="339">
        <f t="shared" si="10"/>
        <v>1.9999999998171878</v>
      </c>
      <c r="O100" s="339">
        <f t="shared" si="10"/>
        <v>1.9999999998171878</v>
      </c>
    </row>
    <row r="101" spans="1:15" x14ac:dyDescent="0.25">
      <c r="A101" s="91">
        <v>83</v>
      </c>
      <c r="B101" s="327">
        <v>2100</v>
      </c>
      <c r="C101" s="344">
        <f>HLOOKUP(B101,'FT Combined ARAM Summary'!$A$5:$CJ$14,8,0)</f>
        <v>0</v>
      </c>
      <c r="D101" s="347">
        <f t="shared" si="9"/>
        <v>1.9999999998171878</v>
      </c>
      <c r="E101" s="339">
        <f t="shared" si="10"/>
        <v>1.9999999998171878</v>
      </c>
      <c r="F101" s="339">
        <f t="shared" si="10"/>
        <v>1.9999999998171878</v>
      </c>
      <c r="G101" s="339">
        <f t="shared" si="10"/>
        <v>1.9999999998171878</v>
      </c>
      <c r="H101" s="339">
        <f t="shared" si="10"/>
        <v>1.9999999998171878</v>
      </c>
      <c r="I101" s="339">
        <f t="shared" si="10"/>
        <v>1.9999999998171878</v>
      </c>
      <c r="J101" s="339">
        <f t="shared" si="10"/>
        <v>1.9999999998171878</v>
      </c>
      <c r="K101" s="339">
        <f t="shared" si="10"/>
        <v>1.9999999998171878</v>
      </c>
      <c r="L101" s="339">
        <f t="shared" si="10"/>
        <v>1.9999999998171878</v>
      </c>
      <c r="M101" s="339">
        <f t="shared" si="10"/>
        <v>1.9999999998171878</v>
      </c>
      <c r="N101" s="339">
        <f t="shared" si="10"/>
        <v>1.9999999998171878</v>
      </c>
      <c r="O101" s="339">
        <f t="shared" si="10"/>
        <v>1.9999999998171878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135"/>
  <sheetViews>
    <sheetView topLeftCell="K25" workbookViewId="0">
      <selection activeCell="E17" sqref="E17"/>
    </sheetView>
  </sheetViews>
  <sheetFormatPr defaultRowHeight="15" x14ac:dyDescent="0.25"/>
  <cols>
    <col min="1" max="2" width="9.140625" style="232"/>
    <col min="3" max="3" width="22.28515625" style="232" bestFit="1" customWidth="1"/>
    <col min="4" max="4" width="14" style="232" customWidth="1"/>
    <col min="5" max="5" width="55.5703125" style="232" bestFit="1" customWidth="1"/>
    <col min="6" max="6" width="7.85546875" style="232" customWidth="1"/>
    <col min="7" max="7" width="12.140625" style="232" bestFit="1" customWidth="1"/>
    <col min="8" max="9" width="11.140625" style="232" bestFit="1" customWidth="1"/>
    <col min="10" max="10" width="14" style="232" customWidth="1"/>
    <col min="11" max="11" width="15" style="232" bestFit="1" customWidth="1"/>
    <col min="12" max="12" width="12.42578125" style="232" customWidth="1"/>
    <col min="13" max="13" width="12.85546875" style="232" bestFit="1" customWidth="1"/>
    <col min="14" max="14" width="12.85546875" style="232" customWidth="1"/>
    <col min="15" max="15" width="12.85546875" style="232" bestFit="1" customWidth="1"/>
    <col min="16" max="16" width="11.140625" style="232" bestFit="1" customWidth="1"/>
    <col min="17" max="17" width="13.85546875" style="44" bestFit="1" customWidth="1"/>
    <col min="18" max="18" width="14.5703125" style="44" bestFit="1" customWidth="1"/>
    <col min="19" max="19" width="11.85546875" style="232" bestFit="1" customWidth="1"/>
    <col min="20" max="16384" width="9.140625" style="232"/>
  </cols>
  <sheetData>
    <row r="1" spans="1:44" s="82" customFormat="1" ht="30" x14ac:dyDescent="0.4">
      <c r="A1" s="268" t="s">
        <v>211</v>
      </c>
      <c r="B1" s="268"/>
      <c r="C1" s="269"/>
      <c r="D1" s="270"/>
      <c r="E1" s="271"/>
      <c r="F1" s="271"/>
      <c r="G1" s="271"/>
      <c r="H1" s="271"/>
      <c r="I1" s="271"/>
      <c r="J1" s="269"/>
      <c r="K1" s="269"/>
      <c r="L1" s="269"/>
      <c r="M1" s="269"/>
      <c r="N1" s="269"/>
      <c r="O1" s="269"/>
      <c r="P1" s="270"/>
      <c r="Q1" s="272"/>
      <c r="R1" s="272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</row>
    <row r="2" spans="1:44" s="82" customFormat="1" x14ac:dyDescent="0.25">
      <c r="A2" s="269"/>
      <c r="B2" s="269"/>
      <c r="C2" s="269"/>
      <c r="D2" s="355" t="s">
        <v>210</v>
      </c>
      <c r="E2" s="356"/>
      <c r="F2" s="356"/>
      <c r="G2" s="356"/>
      <c r="H2" s="356"/>
      <c r="I2" s="356"/>
      <c r="J2" s="269" t="s">
        <v>21</v>
      </c>
      <c r="K2" s="269" t="s">
        <v>21</v>
      </c>
      <c r="L2" s="269"/>
      <c r="M2" s="269" t="s">
        <v>21</v>
      </c>
      <c r="N2" s="269"/>
      <c r="O2" s="269"/>
      <c r="P2" s="270"/>
      <c r="Q2" s="272"/>
      <c r="R2" s="272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</row>
    <row r="3" spans="1:44" s="82" customFormat="1" x14ac:dyDescent="0.25">
      <c r="A3" s="269"/>
      <c r="B3" s="269"/>
      <c r="C3" s="269"/>
      <c r="D3" s="357" t="s">
        <v>188</v>
      </c>
      <c r="E3" s="356"/>
      <c r="F3" s="356"/>
      <c r="G3" s="356"/>
      <c r="H3" s="356"/>
      <c r="I3" s="356"/>
      <c r="J3" s="269" t="s">
        <v>21</v>
      </c>
      <c r="K3" s="269" t="s">
        <v>21</v>
      </c>
      <c r="L3" s="269"/>
      <c r="M3" s="269" t="s">
        <v>21</v>
      </c>
      <c r="N3" s="269"/>
      <c r="O3" s="269"/>
      <c r="P3" s="270"/>
      <c r="Q3" s="272"/>
      <c r="R3" s="272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</row>
    <row r="4" spans="1:44" s="82" customFormat="1" ht="15" customHeight="1" x14ac:dyDescent="0.25">
      <c r="A4" s="269"/>
      <c r="B4" s="269"/>
      <c r="C4" s="269"/>
      <c r="D4" s="358" t="s">
        <v>1273</v>
      </c>
      <c r="E4" s="359"/>
      <c r="F4" s="359"/>
      <c r="G4" s="359"/>
      <c r="H4" s="359"/>
      <c r="I4" s="359"/>
      <c r="J4" s="269" t="s">
        <v>21</v>
      </c>
      <c r="K4" s="269" t="s">
        <v>21</v>
      </c>
      <c r="L4" s="269"/>
      <c r="M4" s="269" t="s">
        <v>21</v>
      </c>
      <c r="N4" s="269"/>
      <c r="O4" s="269"/>
      <c r="P4" s="270"/>
      <c r="Q4" s="272"/>
      <c r="R4" s="272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</row>
    <row r="5" spans="1:44" x14ac:dyDescent="0.25">
      <c r="A5" s="230"/>
      <c r="B5" s="230"/>
      <c r="C5" s="230"/>
      <c r="D5" s="360" t="s">
        <v>21</v>
      </c>
      <c r="E5" s="361"/>
      <c r="F5" s="361"/>
      <c r="G5" s="361"/>
      <c r="H5" s="361"/>
      <c r="I5" s="361"/>
      <c r="J5" s="230" t="s">
        <v>21</v>
      </c>
      <c r="K5" s="230" t="s">
        <v>21</v>
      </c>
      <c r="L5" s="230"/>
      <c r="M5" s="230" t="s">
        <v>21</v>
      </c>
      <c r="N5" s="230"/>
      <c r="O5" s="230"/>
      <c r="P5" s="22"/>
      <c r="Q5" s="214"/>
      <c r="R5" s="214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x14ac:dyDescent="0.25">
      <c r="A6" s="230"/>
      <c r="B6" s="230"/>
      <c r="C6" s="230"/>
      <c r="D6" s="231"/>
      <c r="E6" s="230"/>
      <c r="F6" s="230"/>
      <c r="G6" s="39" t="s">
        <v>212</v>
      </c>
      <c r="H6" s="362" t="s">
        <v>213</v>
      </c>
      <c r="I6" s="362"/>
      <c r="J6" s="362"/>
      <c r="K6" s="362"/>
      <c r="L6" s="362"/>
      <c r="M6" s="362"/>
      <c r="N6" s="362"/>
      <c r="O6" s="362"/>
      <c r="P6" s="22"/>
      <c r="Q6" s="214"/>
      <c r="R6" s="214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44" x14ac:dyDescent="0.25">
      <c r="A7" s="230" t="s">
        <v>295</v>
      </c>
      <c r="B7" s="230"/>
      <c r="C7" s="17">
        <v>5.5E-2</v>
      </c>
      <c r="D7" s="230" t="s">
        <v>21</v>
      </c>
      <c r="E7" s="230" t="s">
        <v>1264</v>
      </c>
      <c r="F7" s="230"/>
      <c r="G7" s="15">
        <v>0.35</v>
      </c>
      <c r="H7" s="15">
        <v>0.21</v>
      </c>
      <c r="I7" s="230" t="s">
        <v>21</v>
      </c>
      <c r="J7" s="230" t="s">
        <v>21</v>
      </c>
      <c r="K7" s="230" t="s">
        <v>21</v>
      </c>
      <c r="L7" s="230"/>
      <c r="M7" s="15">
        <v>0.21</v>
      </c>
      <c r="N7" s="230"/>
      <c r="O7" s="230"/>
      <c r="P7" s="22"/>
      <c r="Q7" s="214"/>
      <c r="R7" s="214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44" x14ac:dyDescent="0.25">
      <c r="A8" s="230"/>
      <c r="B8" s="230"/>
      <c r="C8" s="17"/>
      <c r="D8" s="230"/>
      <c r="E8" s="230" t="s">
        <v>1265</v>
      </c>
      <c r="F8" s="230"/>
      <c r="G8" s="15">
        <f>(1-G7)*$C$7+G7</f>
        <v>0.38574999999999998</v>
      </c>
      <c r="H8" s="15">
        <f>(1-H7)*$C$7+H7</f>
        <v>0.25345000000000001</v>
      </c>
      <c r="I8" s="230"/>
      <c r="J8" s="230"/>
      <c r="K8" s="230"/>
      <c r="L8" s="230"/>
      <c r="M8" s="15">
        <f>(1-M7)*$C$7+M7</f>
        <v>0.25345000000000001</v>
      </c>
      <c r="N8" s="35"/>
      <c r="O8" s="230"/>
      <c r="P8" s="22"/>
      <c r="Q8" s="214"/>
      <c r="R8" s="214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x14ac:dyDescent="0.25">
      <c r="A9" s="230"/>
      <c r="B9" s="230"/>
      <c r="C9" s="17"/>
      <c r="D9" s="230"/>
      <c r="E9" s="230" t="s">
        <v>1266</v>
      </c>
      <c r="F9" s="230"/>
      <c r="G9" s="273">
        <f>+G8-0.35</f>
        <v>3.5750000000000004E-2</v>
      </c>
      <c r="H9" s="15"/>
      <c r="I9" s="230"/>
      <c r="J9" s="230"/>
      <c r="K9" s="230"/>
      <c r="L9" s="230"/>
      <c r="M9" s="15"/>
      <c r="N9" s="35"/>
      <c r="O9" s="230"/>
      <c r="P9" s="22"/>
      <c r="Q9" s="214"/>
      <c r="R9" s="214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 x14ac:dyDescent="0.25">
      <c r="A10" s="230"/>
      <c r="B10" s="230"/>
      <c r="C10" s="17"/>
      <c r="D10" s="230"/>
      <c r="E10" s="230" t="s">
        <v>1267</v>
      </c>
      <c r="F10" s="230"/>
      <c r="G10" s="15"/>
      <c r="H10" s="15">
        <f t="shared" ref="H10" si="0">H8-0.21</f>
        <v>4.3450000000000016E-2</v>
      </c>
      <c r="I10" s="230"/>
      <c r="J10" s="230"/>
      <c r="K10" s="230"/>
      <c r="L10" s="230"/>
      <c r="M10" s="15"/>
      <c r="N10" s="35"/>
      <c r="O10" s="230"/>
      <c r="P10" s="22"/>
      <c r="Q10" s="214"/>
      <c r="R10" s="214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x14ac:dyDescent="0.25">
      <c r="A11" s="230"/>
      <c r="B11" s="230"/>
      <c r="C11" s="17"/>
      <c r="D11" s="230"/>
      <c r="E11" s="230" t="s">
        <v>1268</v>
      </c>
      <c r="F11" s="230"/>
      <c r="G11" s="15">
        <f>(1-G10)*$C$7+G10</f>
        <v>5.5E-2</v>
      </c>
      <c r="H11" s="15">
        <f>G11</f>
        <v>5.5E-2</v>
      </c>
      <c r="I11" s="230"/>
      <c r="J11" s="230"/>
      <c r="K11" s="230"/>
      <c r="L11" s="230"/>
      <c r="M11" s="15"/>
      <c r="N11" s="35"/>
      <c r="O11" s="230"/>
      <c r="P11" s="22"/>
      <c r="Q11" s="214"/>
      <c r="R11" s="214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</row>
    <row r="12" spans="1:44" ht="26.25" x14ac:dyDescent="0.25">
      <c r="A12" s="230" t="s">
        <v>187</v>
      </c>
      <c r="B12" s="230" t="s">
        <v>1198</v>
      </c>
      <c r="D12" s="237" t="s">
        <v>186</v>
      </c>
      <c r="E12" s="237" t="s">
        <v>185</v>
      </c>
      <c r="F12" s="18"/>
      <c r="G12" s="18" t="s">
        <v>191</v>
      </c>
      <c r="H12" s="18" t="s">
        <v>183</v>
      </c>
      <c r="I12" s="18" t="s">
        <v>193</v>
      </c>
      <c r="J12" s="18" t="s">
        <v>195</v>
      </c>
      <c r="K12" s="18" t="s">
        <v>197</v>
      </c>
      <c r="L12" s="18"/>
      <c r="M12" s="18" t="s">
        <v>191</v>
      </c>
      <c r="N12" s="18" t="s">
        <v>1269</v>
      </c>
      <c r="O12" s="18" t="s">
        <v>1270</v>
      </c>
      <c r="P12" s="22"/>
      <c r="Q12" s="214"/>
      <c r="R12" s="214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x14ac:dyDescent="0.25">
      <c r="A13" s="230" t="str">
        <f t="shared" ref="A13:A28" si="1">LEFT(D13,4)</f>
        <v>25AF</v>
      </c>
      <c r="B13" s="230">
        <v>282</v>
      </c>
      <c r="C13" s="84" t="s">
        <v>1195</v>
      </c>
      <c r="D13" s="233" t="s">
        <v>26</v>
      </c>
      <c r="E13" s="233" t="s">
        <v>171</v>
      </c>
      <c r="F13" s="274"/>
      <c r="G13" s="275">
        <f>ROUND(M13/$H$8*$G$8,0)</f>
        <v>0</v>
      </c>
      <c r="H13" s="275">
        <f t="shared" ref="H13:H29" si="2">M13-G13</f>
        <v>0</v>
      </c>
      <c r="I13" s="30"/>
      <c r="J13" s="19">
        <f>H13</f>
        <v>0</v>
      </c>
      <c r="K13" s="19">
        <f t="shared" ref="K13:K29" si="3">H13-I13-J13</f>
        <v>0</v>
      </c>
      <c r="L13" s="30"/>
      <c r="M13" s="19">
        <f>+VLOOKUP($D13,'FT-2018 RF'!$D$10:$AB$47,10,0)</f>
        <v>0</v>
      </c>
      <c r="N13" s="29">
        <f>+VLOOKUP($D13,'FT-2018 RF'!$D$10:$AB$47,11,0)</f>
        <v>0</v>
      </c>
      <c r="O13" s="29">
        <f t="shared" ref="O13" si="4">SUM(M13:N13)</f>
        <v>0</v>
      </c>
      <c r="P13" s="28"/>
      <c r="Q13" s="276"/>
      <c r="R13" s="277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 x14ac:dyDescent="0.25">
      <c r="A14" s="230" t="str">
        <f t="shared" si="1"/>
        <v>25AM</v>
      </c>
      <c r="B14" s="230">
        <v>283</v>
      </c>
      <c r="C14" s="82" t="s">
        <v>362</v>
      </c>
      <c r="D14" s="233" t="s">
        <v>49</v>
      </c>
      <c r="E14" s="233" t="s">
        <v>291</v>
      </c>
      <c r="F14" s="323"/>
      <c r="G14" s="282">
        <f>ROUND(M14/$H$8*$G$8,0)</f>
        <v>345</v>
      </c>
      <c r="H14" s="282">
        <f t="shared" si="2"/>
        <v>-118</v>
      </c>
      <c r="I14" s="30"/>
      <c r="J14" s="30"/>
      <c r="K14" s="30">
        <f t="shared" si="3"/>
        <v>-118</v>
      </c>
      <c r="L14" s="30"/>
      <c r="M14" s="30">
        <f>+VLOOKUP($D14,'FT-2018 RF'!$D$10:$AB$47,10,0)</f>
        <v>227</v>
      </c>
      <c r="N14" s="289">
        <f>+VLOOKUP($D14,'FT-2018 RF'!$D$10:$AB$47,11,0)</f>
        <v>0</v>
      </c>
      <c r="O14" s="289">
        <f t="shared" ref="O14:O29" si="5">SUM(M14:N14)</f>
        <v>227</v>
      </c>
      <c r="P14" s="28"/>
      <c r="Q14" s="276"/>
      <c r="R14" s="277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x14ac:dyDescent="0.25">
      <c r="A15" s="230" t="str">
        <f t="shared" si="1"/>
        <v>25AM</v>
      </c>
      <c r="B15" s="230">
        <v>283</v>
      </c>
      <c r="C15" s="82" t="s">
        <v>362</v>
      </c>
      <c r="D15" s="233" t="s">
        <v>292</v>
      </c>
      <c r="E15" s="233" t="s">
        <v>293</v>
      </c>
      <c r="F15" s="323"/>
      <c r="G15" s="282"/>
      <c r="H15" s="282"/>
      <c r="I15" s="30"/>
      <c r="J15" s="30"/>
      <c r="K15" s="30"/>
      <c r="L15" s="30"/>
      <c r="M15" s="30">
        <f>+VLOOKUP($D15,'FT-2018 RF'!$D$10:$AB$47,10,0)</f>
        <v>-60540</v>
      </c>
      <c r="N15" s="289">
        <f>+VLOOKUP($D15,'FT-2018 RF'!$D$10:$AB$47,11,0)</f>
        <v>-12063</v>
      </c>
      <c r="O15" s="289">
        <f t="shared" si="5"/>
        <v>-72603</v>
      </c>
      <c r="P15" s="28"/>
      <c r="Q15" s="276"/>
      <c r="R15" s="277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x14ac:dyDescent="0.25">
      <c r="A16" s="230" t="str">
        <f t="shared" si="1"/>
        <v>25BD</v>
      </c>
      <c r="B16" s="230">
        <v>283</v>
      </c>
      <c r="C16" s="82" t="s">
        <v>362</v>
      </c>
      <c r="D16" s="233" t="s">
        <v>51</v>
      </c>
      <c r="E16" s="233" t="s">
        <v>170</v>
      </c>
      <c r="F16" s="281">
        <v>4943.3778609999727</v>
      </c>
      <c r="G16" s="282">
        <f>ROUND(M16/$H$8*$G$8,0)+F16</f>
        <v>5786.3778609999727</v>
      </c>
      <c r="H16" s="282">
        <f t="shared" si="2"/>
        <v>-5232.3778609999727</v>
      </c>
      <c r="I16" s="30"/>
      <c r="J16" s="30"/>
      <c r="K16" s="30">
        <f t="shared" si="3"/>
        <v>-5232.3778609999727</v>
      </c>
      <c r="L16" s="30"/>
      <c r="M16" s="30">
        <f>+VLOOKUP($D16,'FT-2018 RF'!$D$10:$AB$47,10,0)</f>
        <v>554</v>
      </c>
      <c r="N16" s="289">
        <f>+VLOOKUP($D16,'FT-2018 RF'!$D$10:$AB$47,11,0)</f>
        <v>-332</v>
      </c>
      <c r="O16" s="289">
        <f t="shared" si="5"/>
        <v>222</v>
      </c>
      <c r="P16" s="28"/>
      <c r="Q16" s="276"/>
      <c r="R16" s="277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x14ac:dyDescent="0.25">
      <c r="A17" s="224" t="str">
        <f t="shared" si="1"/>
        <v>25BN</v>
      </c>
      <c r="B17" s="224">
        <v>283</v>
      </c>
      <c r="C17" s="82" t="s">
        <v>362</v>
      </c>
      <c r="D17" s="278" t="s">
        <v>169</v>
      </c>
      <c r="E17" s="278" t="s">
        <v>168</v>
      </c>
      <c r="F17" s="279"/>
      <c r="G17" s="280">
        <f t="shared" ref="G17:G24" si="6">ROUND(M17/$H$8*$G$8,0)</f>
        <v>3645</v>
      </c>
      <c r="H17" s="280">
        <f t="shared" si="2"/>
        <v>-1250</v>
      </c>
      <c r="I17" s="226"/>
      <c r="J17" s="226"/>
      <c r="K17" s="226">
        <f t="shared" si="3"/>
        <v>-1250</v>
      </c>
      <c r="L17" s="226"/>
      <c r="M17" s="226">
        <f>+VLOOKUP($D17,'FT-2018 RF'!$D$10:$AB$47,10,0)</f>
        <v>2395</v>
      </c>
      <c r="N17" s="227">
        <f>+VLOOKUP($D17,'FT-2018 RF'!$D$10:$AB$47,11,0)</f>
        <v>0</v>
      </c>
      <c r="O17" s="227">
        <f t="shared" si="5"/>
        <v>2395</v>
      </c>
      <c r="P17" s="28"/>
      <c r="Q17" s="276"/>
      <c r="R17" s="277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x14ac:dyDescent="0.25">
      <c r="A18" s="230" t="str">
        <f t="shared" si="1"/>
        <v>25CN</v>
      </c>
      <c r="B18" s="230">
        <v>283</v>
      </c>
      <c r="C18" s="82" t="s">
        <v>362</v>
      </c>
      <c r="D18" s="233" t="s">
        <v>242</v>
      </c>
      <c r="E18" s="233" t="s">
        <v>294</v>
      </c>
      <c r="F18" s="323"/>
      <c r="G18" s="282">
        <f t="shared" si="6"/>
        <v>3169</v>
      </c>
      <c r="H18" s="282">
        <f t="shared" si="2"/>
        <v>-1087</v>
      </c>
      <c r="I18" s="30"/>
      <c r="J18" s="30"/>
      <c r="K18" s="30">
        <f t="shared" si="3"/>
        <v>-1087</v>
      </c>
      <c r="L18" s="30"/>
      <c r="M18" s="30">
        <f>+VLOOKUP($D18,'FT-2018 RF'!$D$10:$AB$47,10,0)</f>
        <v>2082</v>
      </c>
      <c r="N18" s="289">
        <f>+VLOOKUP($D18,'FT-2018 RF'!$D$10:$AB$47,11,0)</f>
        <v>-1361</v>
      </c>
      <c r="O18" s="289">
        <f t="shared" si="5"/>
        <v>721</v>
      </c>
      <c r="P18" s="28"/>
      <c r="Q18" s="276"/>
      <c r="R18" s="277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x14ac:dyDescent="0.25">
      <c r="A19" s="230" t="str">
        <f t="shared" si="1"/>
        <v>25DP</v>
      </c>
      <c r="B19" s="230">
        <v>282</v>
      </c>
      <c r="C19" s="80" t="s">
        <v>1196</v>
      </c>
      <c r="D19" s="233" t="s">
        <v>167</v>
      </c>
      <c r="E19" s="233" t="s">
        <v>166</v>
      </c>
      <c r="F19" s="281">
        <v>36.046908999996326</v>
      </c>
      <c r="G19" s="282">
        <f>ROUND(M19/$H$8*$G$8,0)+F19</f>
        <v>-99368.953091000003</v>
      </c>
      <c r="H19" s="282">
        <f t="shared" si="2"/>
        <v>34056.953091000003</v>
      </c>
      <c r="I19" s="30">
        <f>H19</f>
        <v>34056.953091000003</v>
      </c>
      <c r="J19" s="30"/>
      <c r="K19" s="30">
        <f t="shared" si="3"/>
        <v>0</v>
      </c>
      <c r="L19" s="30"/>
      <c r="M19" s="30">
        <f>+VLOOKUP($D19,'FT-2018 RF'!$D$10:$AB$47,10,0)</f>
        <v>-65312</v>
      </c>
      <c r="N19" s="289">
        <f>+VLOOKUP($D19,'FT-2018 RF'!$D$10:$AB$47,11,0)</f>
        <v>-3700</v>
      </c>
      <c r="O19" s="289">
        <f t="shared" si="5"/>
        <v>-69012</v>
      </c>
      <c r="P19" s="28"/>
      <c r="Q19" s="276"/>
      <c r="R19" s="277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x14ac:dyDescent="0.25">
      <c r="A20" s="230" t="str">
        <f t="shared" si="1"/>
        <v>25DP</v>
      </c>
      <c r="B20" s="230">
        <v>282</v>
      </c>
      <c r="C20" s="80" t="s">
        <v>1196</v>
      </c>
      <c r="D20" s="233" t="s">
        <v>165</v>
      </c>
      <c r="E20" s="233" t="s">
        <v>164</v>
      </c>
      <c r="F20" s="323"/>
      <c r="G20" s="282">
        <f t="shared" si="6"/>
        <v>0</v>
      </c>
      <c r="H20" s="282">
        <f t="shared" si="2"/>
        <v>0</v>
      </c>
      <c r="I20" s="30">
        <f>H20</f>
        <v>0</v>
      </c>
      <c r="J20" s="30"/>
      <c r="K20" s="30">
        <f t="shared" si="3"/>
        <v>0</v>
      </c>
      <c r="L20" s="30"/>
      <c r="M20" s="30">
        <f>+VLOOKUP($D20,'FT-2018 RF'!$D$10:$AB$47,10,0)</f>
        <v>0</v>
      </c>
      <c r="N20" s="289">
        <f>+VLOOKUP($D20,'FT-2018 RF'!$D$10:$AB$47,11,0)</f>
        <v>0</v>
      </c>
      <c r="O20" s="289">
        <f t="shared" si="5"/>
        <v>0</v>
      </c>
      <c r="P20" s="28"/>
      <c r="Q20" s="276"/>
      <c r="R20" s="277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x14ac:dyDescent="0.25">
      <c r="A21" s="230" t="str">
        <f t="shared" si="1"/>
        <v>25DP</v>
      </c>
      <c r="B21" s="230">
        <v>282</v>
      </c>
      <c r="C21" s="84" t="s">
        <v>1195</v>
      </c>
      <c r="D21" s="233" t="s">
        <v>163</v>
      </c>
      <c r="E21" s="233" t="s">
        <v>147</v>
      </c>
      <c r="F21" s="323"/>
      <c r="G21" s="282">
        <f t="shared" si="6"/>
        <v>20611</v>
      </c>
      <c r="H21" s="282">
        <f t="shared" si="2"/>
        <v>-7069</v>
      </c>
      <c r="I21" s="30"/>
      <c r="J21" s="30">
        <f>H21</f>
        <v>-7069</v>
      </c>
      <c r="K21" s="30">
        <f t="shared" si="3"/>
        <v>0</v>
      </c>
      <c r="L21" s="30"/>
      <c r="M21" s="30">
        <f>+VLOOKUP($D21,'FT-2018 RF'!$D$10:$AB$47,10,0)</f>
        <v>13542</v>
      </c>
      <c r="N21" s="289">
        <f>+VLOOKUP($D21,'FT-2018 RF'!$D$10:$AB$47,11,0)</f>
        <v>-36787</v>
      </c>
      <c r="O21" s="289">
        <f t="shared" si="5"/>
        <v>-23245</v>
      </c>
      <c r="P21" s="28"/>
      <c r="Q21" s="276"/>
      <c r="R21" s="277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x14ac:dyDescent="0.25">
      <c r="A22" s="230" t="str">
        <f t="shared" si="1"/>
        <v>25DP</v>
      </c>
      <c r="B22" s="230">
        <v>282</v>
      </c>
      <c r="C22" s="80" t="s">
        <v>1196</v>
      </c>
      <c r="D22" s="233" t="s">
        <v>162</v>
      </c>
      <c r="E22" s="233" t="s">
        <v>161</v>
      </c>
      <c r="F22" s="324"/>
      <c r="G22" s="282">
        <f t="shared" si="6"/>
        <v>0</v>
      </c>
      <c r="H22" s="282">
        <f t="shared" si="2"/>
        <v>0</v>
      </c>
      <c r="I22" s="30">
        <f>H22</f>
        <v>0</v>
      </c>
      <c r="J22" s="30"/>
      <c r="K22" s="30">
        <f t="shared" si="3"/>
        <v>0</v>
      </c>
      <c r="L22" s="30"/>
      <c r="M22" s="30">
        <f>+VLOOKUP($D22,'FT-2018 RF'!$D$10:$AB$47,10,0)</f>
        <v>0</v>
      </c>
      <c r="N22" s="289">
        <f>+VLOOKUP($D22,'FT-2018 RF'!$D$10:$AB$47,11,0)</f>
        <v>-2150</v>
      </c>
      <c r="O22" s="289">
        <f t="shared" si="5"/>
        <v>-2150</v>
      </c>
      <c r="P22" s="28"/>
      <c r="Q22" s="276"/>
      <c r="R22" s="277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x14ac:dyDescent="0.25">
      <c r="A23" s="230" t="str">
        <f t="shared" si="1"/>
        <v>25ID</v>
      </c>
      <c r="B23" s="230">
        <v>283</v>
      </c>
      <c r="C23" s="82" t="s">
        <v>362</v>
      </c>
      <c r="D23" s="233" t="s">
        <v>87</v>
      </c>
      <c r="E23" s="233" t="s">
        <v>160</v>
      </c>
      <c r="F23" s="325"/>
      <c r="G23" s="282">
        <f t="shared" si="6"/>
        <v>-455</v>
      </c>
      <c r="H23" s="282">
        <f t="shared" si="2"/>
        <v>156</v>
      </c>
      <c r="I23" s="30"/>
      <c r="J23" s="30"/>
      <c r="K23" s="30">
        <f t="shared" si="3"/>
        <v>156</v>
      </c>
      <c r="L23" s="30"/>
      <c r="M23" s="30">
        <f>+VLOOKUP($D23,'FT-2018 RF'!$D$10:$AB$47,10,0)</f>
        <v>-299</v>
      </c>
      <c r="N23" s="289">
        <f>+VLOOKUP($D23,'FT-2018 RF'!$D$10:$AB$47,11,0)</f>
        <v>-4</v>
      </c>
      <c r="O23" s="289">
        <f t="shared" si="5"/>
        <v>-303</v>
      </c>
      <c r="P23" s="28"/>
      <c r="Q23" s="276"/>
      <c r="R23" s="27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x14ac:dyDescent="0.25">
      <c r="A24" s="230" t="str">
        <f t="shared" si="1"/>
        <v>25PG</v>
      </c>
      <c r="B24" s="230">
        <v>283</v>
      </c>
      <c r="C24" s="82" t="s">
        <v>362</v>
      </c>
      <c r="D24" s="233" t="s">
        <v>50</v>
      </c>
      <c r="E24" s="233" t="s">
        <v>159</v>
      </c>
      <c r="F24" s="323"/>
      <c r="G24" s="282">
        <f t="shared" si="6"/>
        <v>6936</v>
      </c>
      <c r="H24" s="282">
        <f t="shared" si="2"/>
        <v>-2379</v>
      </c>
      <c r="I24" s="30"/>
      <c r="J24" s="30"/>
      <c r="K24" s="30">
        <f t="shared" si="3"/>
        <v>-2379</v>
      </c>
      <c r="L24" s="30"/>
      <c r="M24" s="30">
        <f>+VLOOKUP($D24,'FT-2018 RF'!$D$10:$AB$47,10,0)</f>
        <v>4557</v>
      </c>
      <c r="N24" s="289">
        <f>+VLOOKUP($D24,'FT-2018 RF'!$D$10:$AB$47,11,0)</f>
        <v>0</v>
      </c>
      <c r="O24" s="289">
        <f t="shared" si="5"/>
        <v>4557</v>
      </c>
      <c r="P24" s="22"/>
      <c r="Q24" s="276"/>
      <c r="R24" s="277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s="285" customFormat="1" x14ac:dyDescent="0.25">
      <c r="A25" s="230" t="str">
        <f t="shared" si="1"/>
        <v>25RE</v>
      </c>
      <c r="B25" s="230">
        <v>282</v>
      </c>
      <c r="C25" s="84" t="s">
        <v>1195</v>
      </c>
      <c r="D25" s="233" t="s">
        <v>127</v>
      </c>
      <c r="E25" s="233" t="s">
        <v>158</v>
      </c>
      <c r="F25" s="325" t="s">
        <v>317</v>
      </c>
      <c r="G25" s="282">
        <f>ROUND(M25/$H$10*$G$9,0)</f>
        <v>-25437</v>
      </c>
      <c r="H25" s="282">
        <f t="shared" si="2"/>
        <v>-5479</v>
      </c>
      <c r="I25" s="30"/>
      <c r="J25" s="30">
        <f>H25</f>
        <v>-5479</v>
      </c>
      <c r="K25" s="30">
        <f t="shared" si="3"/>
        <v>0</v>
      </c>
      <c r="L25" s="30"/>
      <c r="M25" s="30">
        <f>+VLOOKUP($D25,'FT-2018 RF'!$D$10:$AB$47,10,0)</f>
        <v>-30916</v>
      </c>
      <c r="N25" s="289">
        <f>+VLOOKUP($D25,'FT-2018 RF'!$D$10:$AB$47,11,0)</f>
        <v>11</v>
      </c>
      <c r="O25" s="289">
        <f t="shared" si="5"/>
        <v>-30905</v>
      </c>
      <c r="P25" s="24"/>
      <c r="Q25" s="283"/>
      <c r="R25" s="28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44" s="80" customFormat="1" x14ac:dyDescent="0.25">
      <c r="A26" s="224" t="str">
        <f t="shared" si="1"/>
        <v>25RT</v>
      </c>
      <c r="B26" s="224">
        <v>283</v>
      </c>
      <c r="C26" s="82" t="s">
        <v>362</v>
      </c>
      <c r="D26" s="278" t="s">
        <v>135</v>
      </c>
      <c r="E26" s="278" t="s">
        <v>190</v>
      </c>
      <c r="F26" s="279"/>
      <c r="G26" s="280">
        <f>ROUND(M26/$H$8*$G$8,0)</f>
        <v>2084</v>
      </c>
      <c r="H26" s="280">
        <f t="shared" si="2"/>
        <v>-715</v>
      </c>
      <c r="I26" s="226"/>
      <c r="J26" s="226"/>
      <c r="K26" s="226">
        <f t="shared" si="3"/>
        <v>-715</v>
      </c>
      <c r="L26" s="226"/>
      <c r="M26" s="226">
        <f>+VLOOKUP($D26,'FT-2018 RF'!$D$10:$AB$47,10,0)</f>
        <v>1369</v>
      </c>
      <c r="N26" s="227">
        <f>+VLOOKUP($D26,'FT-2018 RF'!$D$10:$AB$47,11,0)</f>
        <v>0</v>
      </c>
      <c r="O26" s="227">
        <f t="shared" si="5"/>
        <v>1369</v>
      </c>
      <c r="P26" s="286"/>
      <c r="Q26" s="287"/>
      <c r="R26" s="288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</row>
    <row r="27" spans="1:44" x14ac:dyDescent="0.25">
      <c r="A27" s="230" t="str">
        <f t="shared" si="1"/>
        <v>25SI</v>
      </c>
      <c r="B27" s="230">
        <v>283</v>
      </c>
      <c r="C27" s="82" t="s">
        <v>362</v>
      </c>
      <c r="D27" s="233" t="s">
        <v>157</v>
      </c>
      <c r="E27" s="233" t="s">
        <v>156</v>
      </c>
      <c r="F27" s="325" t="s">
        <v>317</v>
      </c>
      <c r="G27" s="282">
        <f>ROUND(M27/$H$10*$G$9,0)</f>
        <v>-6957</v>
      </c>
      <c r="H27" s="282">
        <f t="shared" si="2"/>
        <v>-1498</v>
      </c>
      <c r="I27" s="30"/>
      <c r="J27" s="30"/>
      <c r="K27" s="30">
        <f t="shared" si="3"/>
        <v>-1498</v>
      </c>
      <c r="L27" s="30"/>
      <c r="M27" s="30">
        <f>+VLOOKUP($D27,'FT-2018 RF'!$D$10:$AB$47,10,0)</f>
        <v>-8455</v>
      </c>
      <c r="N27" s="289">
        <f>+VLOOKUP($D27,'FT-2018 RF'!$D$10:$AB$47,11,0)</f>
        <v>8455</v>
      </c>
      <c r="O27" s="289">
        <f t="shared" si="5"/>
        <v>0</v>
      </c>
      <c r="P27" s="22"/>
      <c r="Q27" s="276"/>
      <c r="R27" s="27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x14ac:dyDescent="0.25">
      <c r="A28" s="224" t="str">
        <f t="shared" si="1"/>
        <v>25SR</v>
      </c>
      <c r="B28" s="224">
        <v>283</v>
      </c>
      <c r="C28" s="82" t="s">
        <v>362</v>
      </c>
      <c r="D28" s="278" t="s">
        <v>1210</v>
      </c>
      <c r="E28" s="278" t="s">
        <v>1209</v>
      </c>
      <c r="F28" s="290"/>
      <c r="G28" s="280">
        <f>ROUND(M28/$H$8*$G$8,0)</f>
        <v>4662</v>
      </c>
      <c r="H28" s="280">
        <f t="shared" si="2"/>
        <v>-1599</v>
      </c>
      <c r="I28" s="226"/>
      <c r="J28" s="226"/>
      <c r="K28" s="226">
        <f t="shared" si="3"/>
        <v>-1599</v>
      </c>
      <c r="L28" s="226"/>
      <c r="M28" s="226">
        <f>+VLOOKUP($D28,'FT-2018 RF'!$D$10:$AB$47,10,0)</f>
        <v>3063</v>
      </c>
      <c r="N28" s="227">
        <f>+VLOOKUP($D28,'FT-2018 RF'!$D$10:$AB$47,11,0)</f>
        <v>0</v>
      </c>
      <c r="O28" s="227">
        <f t="shared" si="5"/>
        <v>3063</v>
      </c>
      <c r="P28" s="22"/>
      <c r="Q28" s="276"/>
      <c r="R28" s="27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x14ac:dyDescent="0.25">
      <c r="A29" s="230" t="s">
        <v>123</v>
      </c>
      <c r="B29" s="230">
        <v>283</v>
      </c>
      <c r="C29" s="82" t="s">
        <v>362</v>
      </c>
      <c r="D29" s="233" t="s">
        <v>155</v>
      </c>
      <c r="E29" s="233" t="s">
        <v>155</v>
      </c>
      <c r="F29" s="325" t="s">
        <v>317</v>
      </c>
      <c r="G29" s="282">
        <f>ROUND(M29/$H$10*$G$9,0)</f>
        <v>0</v>
      </c>
      <c r="H29" s="282">
        <f t="shared" si="2"/>
        <v>0</v>
      </c>
      <c r="I29" s="30"/>
      <c r="J29" s="30"/>
      <c r="K29" s="30">
        <f t="shared" si="3"/>
        <v>0</v>
      </c>
      <c r="L29" s="30"/>
      <c r="M29" s="30">
        <f>+VLOOKUP($D29,'FT-2018 RF'!$D$10:$AB$47,10,0)</f>
        <v>0</v>
      </c>
      <c r="N29" s="289">
        <f>+VLOOKUP($D29,'FT-2018 RF'!$D$10:$AB$47,11,0)</f>
        <v>0</v>
      </c>
      <c r="O29" s="289">
        <f t="shared" si="5"/>
        <v>0</v>
      </c>
      <c r="P29" s="22"/>
      <c r="Q29" s="276"/>
      <c r="R29" s="27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x14ac:dyDescent="0.25">
      <c r="A30" s="230"/>
      <c r="B30" s="230"/>
      <c r="C30" s="230"/>
      <c r="D30" s="230" t="s">
        <v>21</v>
      </c>
      <c r="E30" s="230" t="s">
        <v>21</v>
      </c>
      <c r="F30" s="326"/>
      <c r="G30" s="326" t="s">
        <v>21</v>
      </c>
      <c r="H30" s="326" t="s">
        <v>21</v>
      </c>
      <c r="I30" s="326" t="s">
        <v>21</v>
      </c>
      <c r="J30" s="326"/>
      <c r="K30" s="326"/>
      <c r="L30" s="326"/>
      <c r="M30" s="326" t="s">
        <v>21</v>
      </c>
      <c r="N30" s="30"/>
      <c r="O30" s="326"/>
      <c r="P30" s="22"/>
      <c r="Q30" s="214"/>
      <c r="R30" s="214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ht="15.75" thickBot="1" x14ac:dyDescent="0.3">
      <c r="A31" s="230"/>
      <c r="B31" s="230"/>
      <c r="C31" s="230"/>
      <c r="D31" s="20" t="s">
        <v>154</v>
      </c>
      <c r="E31" s="20" t="s">
        <v>21</v>
      </c>
      <c r="F31" s="20"/>
      <c r="G31" s="21">
        <f t="shared" ref="G31:O31" si="7">SUM(G13:G30)</f>
        <v>-84979.575230000031</v>
      </c>
      <c r="H31" s="21">
        <f t="shared" si="7"/>
        <v>7786.5752300000313</v>
      </c>
      <c r="I31" s="21">
        <f t="shared" si="7"/>
        <v>34056.953091000003</v>
      </c>
      <c r="J31" s="21">
        <f t="shared" si="7"/>
        <v>-12548</v>
      </c>
      <c r="K31" s="21">
        <f t="shared" si="7"/>
        <v>-13722.377860999972</v>
      </c>
      <c r="L31" s="21">
        <f t="shared" si="7"/>
        <v>0</v>
      </c>
      <c r="M31" s="21">
        <f t="shared" si="7"/>
        <v>-137733</v>
      </c>
      <c r="N31" s="21">
        <f t="shared" si="7"/>
        <v>-47931</v>
      </c>
      <c r="O31" s="21">
        <f t="shared" si="7"/>
        <v>-185664</v>
      </c>
      <c r="P31" s="26">
        <f>O31-'FT-2018 RF'!AB28</f>
        <v>-1</v>
      </c>
      <c r="Q31" s="291"/>
      <c r="R31" s="291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 s="296" customFormat="1" ht="15.75" thickTop="1" x14ac:dyDescent="0.25">
      <c r="A32" s="292"/>
      <c r="B32" s="292"/>
      <c r="C32" s="292"/>
      <c r="D32" s="292"/>
      <c r="E32" s="292"/>
      <c r="F32" s="292"/>
      <c r="G32" s="293"/>
      <c r="H32" s="293"/>
      <c r="I32" s="293">
        <f>I31-'FT Combined ARAM Summary'!E10</f>
        <v>0</v>
      </c>
      <c r="J32" s="292"/>
      <c r="K32" s="292"/>
      <c r="L32" s="292"/>
      <c r="M32" s="292"/>
      <c r="N32" s="292"/>
      <c r="O32" s="292"/>
      <c r="P32" s="294"/>
      <c r="Q32" s="295"/>
      <c r="R32" s="295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</row>
    <row r="33" spans="1:44" s="296" customFormat="1" x14ac:dyDescent="0.25">
      <c r="A33" s="292"/>
      <c r="B33" s="292"/>
      <c r="C33" s="294"/>
      <c r="D33" s="292"/>
      <c r="E33" s="292" t="s">
        <v>194</v>
      </c>
      <c r="F33" s="292"/>
      <c r="G33" s="292"/>
      <c r="H33" s="292"/>
      <c r="I33" s="297">
        <f>(I$31/(1-$H$8)-I$31)</f>
        <v>11562.165643177213</v>
      </c>
      <c r="J33" s="292"/>
      <c r="K33" s="292"/>
      <c r="L33" s="292"/>
      <c r="M33" s="297">
        <f>SUM(G33:K33)-H33</f>
        <v>11562.165643177213</v>
      </c>
      <c r="N33" s="298"/>
      <c r="O33" s="293">
        <f>SUM(M33:N33)</f>
        <v>11562.165643177213</v>
      </c>
      <c r="P33" s="299"/>
      <c r="Q33" s="300"/>
      <c r="R33" s="295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</row>
    <row r="34" spans="1:44" s="296" customFormat="1" x14ac:dyDescent="0.25">
      <c r="A34" s="294"/>
      <c r="B34" s="294"/>
      <c r="C34" s="294"/>
      <c r="D34" s="294"/>
      <c r="E34" s="294" t="s">
        <v>196</v>
      </c>
      <c r="F34" s="294"/>
      <c r="G34" s="294"/>
      <c r="H34" s="294"/>
      <c r="I34" s="294"/>
      <c r="J34" s="297">
        <f>(J$31/(1-$H$8)-J$31)</f>
        <v>-4259.9833902618702</v>
      </c>
      <c r="K34" s="294"/>
      <c r="L34" s="294"/>
      <c r="M34" s="297">
        <f>SUM(G34:K34)-H34</f>
        <v>-4259.9833902618702</v>
      </c>
      <c r="N34" s="299"/>
      <c r="O34" s="293">
        <f>SUM(M34:N34)</f>
        <v>-4259.9833902618702</v>
      </c>
      <c r="P34" s="294"/>
      <c r="Q34" s="295"/>
      <c r="R34" s="295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1:44" s="296" customFormat="1" x14ac:dyDescent="0.25">
      <c r="A35" s="294"/>
      <c r="B35" s="294"/>
      <c r="C35" s="294"/>
      <c r="D35" s="294"/>
      <c r="E35" s="294" t="s">
        <v>198</v>
      </c>
      <c r="F35" s="294"/>
      <c r="G35" s="294"/>
      <c r="H35" s="294"/>
      <c r="I35" s="294"/>
      <c r="J35" s="294"/>
      <c r="K35" s="297">
        <f>(K$31/(1-$H$8)-K$31)</f>
        <v>-4658.678814373372</v>
      </c>
      <c r="L35" s="297"/>
      <c r="M35" s="297">
        <f>SUM(G35:K35)-H35</f>
        <v>-4658.678814373372</v>
      </c>
      <c r="N35" s="297">
        <v>22136</v>
      </c>
      <c r="O35" s="293">
        <f>SUM(M35:N35)</f>
        <v>17477.321185626628</v>
      </c>
      <c r="P35" s="294"/>
      <c r="Q35" s="295"/>
      <c r="R35" s="295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</row>
    <row r="36" spans="1:44" s="296" customFormat="1" x14ac:dyDescent="0.25">
      <c r="A36" s="294"/>
      <c r="B36" s="294"/>
      <c r="C36" s="294"/>
      <c r="D36" s="294"/>
      <c r="E36" s="294" t="s">
        <v>1271</v>
      </c>
      <c r="F36" s="294"/>
      <c r="G36" s="294"/>
      <c r="H36" s="294"/>
      <c r="I36" s="294"/>
      <c r="J36" s="294"/>
      <c r="K36" s="297"/>
      <c r="L36" s="297"/>
      <c r="M36" s="297">
        <f>SUM(G36:K36)-H36</f>
        <v>0</v>
      </c>
      <c r="N36" s="299"/>
      <c r="O36" s="293">
        <f>SUM(M36:N36)</f>
        <v>0</v>
      </c>
      <c r="P36" s="294"/>
      <c r="Q36" s="300"/>
      <c r="R36" s="295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</row>
    <row r="37" spans="1:44" s="296" customFormat="1" x14ac:dyDescent="0.25">
      <c r="A37" s="294"/>
      <c r="B37" s="294"/>
      <c r="C37" s="294"/>
      <c r="D37" s="294"/>
      <c r="E37" s="294"/>
      <c r="F37" s="294"/>
      <c r="G37" s="301"/>
      <c r="H37" s="301"/>
      <c r="I37" s="301"/>
      <c r="J37" s="301"/>
      <c r="K37" s="301"/>
      <c r="L37" s="301"/>
      <c r="M37" s="301"/>
      <c r="N37" s="301"/>
      <c r="O37" s="301"/>
      <c r="P37" s="294"/>
      <c r="Q37" s="295"/>
      <c r="R37" s="295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</row>
    <row r="38" spans="1:44" s="296" customFormat="1" x14ac:dyDescent="0.25">
      <c r="A38" s="292" t="s">
        <v>132</v>
      </c>
      <c r="B38" s="292"/>
      <c r="C38" s="294"/>
      <c r="D38" s="292" t="s">
        <v>132</v>
      </c>
      <c r="E38" s="292" t="s">
        <v>192</v>
      </c>
      <c r="F38" s="292"/>
      <c r="G38" s="294"/>
      <c r="H38" s="294"/>
      <c r="I38" s="299">
        <f>SUM(I33:I37)</f>
        <v>11562.165643177213</v>
      </c>
      <c r="J38" s="299">
        <f>SUM(J33:J37)</f>
        <v>-4259.9833902618702</v>
      </c>
      <c r="K38" s="299">
        <f>SUM(K33:K37)</f>
        <v>-4658.678814373372</v>
      </c>
      <c r="L38" s="299"/>
      <c r="M38" s="299">
        <f>SUM(M33:M37)</f>
        <v>2643.5034385419713</v>
      </c>
      <c r="N38" s="299">
        <f>SUM(N33:N37)</f>
        <v>22136</v>
      </c>
      <c r="O38" s="299">
        <f>SUM(O33:O37)</f>
        <v>24779.503438541971</v>
      </c>
      <c r="P38" s="294"/>
      <c r="Q38" s="302"/>
      <c r="R38" s="302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</row>
    <row r="39" spans="1:44" s="296" customFormat="1" x14ac:dyDescent="0.25">
      <c r="A39" s="294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5"/>
      <c r="R39" s="295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</row>
    <row r="40" spans="1:44" s="296" customFormat="1" ht="15.75" thickBot="1" x14ac:dyDescent="0.3">
      <c r="A40" s="294"/>
      <c r="B40" s="294"/>
      <c r="C40" s="294"/>
      <c r="D40" s="303" t="s">
        <v>221</v>
      </c>
      <c r="E40" s="294"/>
      <c r="F40" s="294"/>
      <c r="G40" s="294"/>
      <c r="H40" s="294"/>
      <c r="I40" s="304">
        <f>I31+I38</f>
        <v>45619.118734177217</v>
      </c>
      <c r="J40" s="304">
        <f>J31+J38</f>
        <v>-16807.98339026187</v>
      </c>
      <c r="K40" s="304">
        <f>K31+K38</f>
        <v>-18381.056675373344</v>
      </c>
      <c r="L40" s="294"/>
      <c r="M40" s="304">
        <f>M31+M38</f>
        <v>-135089.49656145804</v>
      </c>
      <c r="N40" s="304">
        <f>N31+N38</f>
        <v>-25795</v>
      </c>
      <c r="O40" s="304">
        <f>O31+O38</f>
        <v>-160884.49656145804</v>
      </c>
      <c r="P40" s="294"/>
      <c r="Q40" s="295"/>
      <c r="R40" s="295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</row>
    <row r="41" spans="1:44" s="296" customFormat="1" ht="15.75" thickTop="1" x14ac:dyDescent="0.25">
      <c r="A41" s="294"/>
      <c r="B41" s="294"/>
      <c r="C41" s="294"/>
      <c r="D41" s="294"/>
      <c r="E41" s="294"/>
      <c r="F41" s="294"/>
      <c r="G41" s="294"/>
      <c r="H41" s="294"/>
      <c r="I41" s="305" t="s">
        <v>214</v>
      </c>
      <c r="J41" s="305" t="s">
        <v>215</v>
      </c>
      <c r="K41" s="305" t="s">
        <v>216</v>
      </c>
      <c r="L41" s="294"/>
      <c r="M41" s="294"/>
      <c r="N41" s="294"/>
      <c r="O41" s="294"/>
      <c r="P41" s="294"/>
      <c r="Q41" s="295"/>
      <c r="R41" s="295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</row>
    <row r="42" spans="1:44" s="296" customFormat="1" x14ac:dyDescent="0.25">
      <c r="A42" s="294"/>
      <c r="B42" s="294"/>
      <c r="C42" s="294"/>
      <c r="D42" s="306" t="s">
        <v>239</v>
      </c>
      <c r="E42" s="294"/>
      <c r="F42" s="294"/>
      <c r="G42" s="294"/>
      <c r="H42" s="294"/>
      <c r="I42" s="305"/>
      <c r="J42" s="305"/>
      <c r="K42" s="305"/>
      <c r="L42" s="294"/>
      <c r="M42" s="294"/>
      <c r="N42" s="294"/>
      <c r="O42" s="294"/>
      <c r="P42" s="294"/>
      <c r="Q42" s="295"/>
      <c r="R42" s="295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</row>
    <row r="43" spans="1:44" s="296" customFormat="1" x14ac:dyDescent="0.25">
      <c r="A43" s="294"/>
      <c r="B43" s="294"/>
      <c r="C43" s="294"/>
      <c r="D43" s="294"/>
      <c r="E43" s="307" t="s">
        <v>232</v>
      </c>
      <c r="F43" s="307"/>
      <c r="G43" s="294"/>
      <c r="H43" s="294"/>
      <c r="I43" s="297">
        <f>-I31</f>
        <v>-34056.953091000003</v>
      </c>
      <c r="J43" s="305"/>
      <c r="K43" s="305"/>
      <c r="L43" s="294"/>
      <c r="M43" s="294"/>
      <c r="N43" s="299"/>
      <c r="O43" s="299">
        <f>SUM(I43:N43)</f>
        <v>-34056.953091000003</v>
      </c>
      <c r="P43" s="299"/>
      <c r="Q43" s="300"/>
      <c r="R43" s="295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</row>
    <row r="44" spans="1:44" s="296" customFormat="1" x14ac:dyDescent="0.25">
      <c r="A44" s="294"/>
      <c r="B44" s="294"/>
      <c r="C44" s="294"/>
      <c r="D44" s="294"/>
      <c r="E44" s="307" t="s">
        <v>233</v>
      </c>
      <c r="F44" s="307"/>
      <c r="G44" s="294"/>
      <c r="H44" s="294"/>
      <c r="I44" s="297">
        <f>-J31</f>
        <v>12548</v>
      </c>
      <c r="J44" s="305"/>
      <c r="K44" s="305"/>
      <c r="L44" s="294"/>
      <c r="M44" s="294"/>
      <c r="N44" s="308"/>
      <c r="O44" s="299">
        <f t="shared" ref="O44" si="8">SUM(I44:N44)</f>
        <v>12548</v>
      </c>
      <c r="P44" s="294"/>
      <c r="Q44" s="300"/>
      <c r="R44" s="295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</row>
    <row r="45" spans="1:44" s="296" customFormat="1" x14ac:dyDescent="0.25">
      <c r="A45" s="294"/>
      <c r="B45" s="294"/>
      <c r="C45" s="294"/>
      <c r="D45" s="294"/>
      <c r="E45" s="307" t="s">
        <v>234</v>
      </c>
      <c r="F45" s="307"/>
      <c r="G45" s="294"/>
      <c r="H45" s="294"/>
      <c r="I45" s="297">
        <f>-K31</f>
        <v>13722.377860999972</v>
      </c>
      <c r="J45" s="299">
        <v>-65205</v>
      </c>
      <c r="K45" s="309"/>
      <c r="L45" s="294"/>
      <c r="M45" s="294"/>
      <c r="O45" s="299">
        <f>SUM(I45:M45)</f>
        <v>-51482.622139000028</v>
      </c>
      <c r="P45" s="294"/>
      <c r="Q45" s="295"/>
      <c r="R45" s="295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</row>
    <row r="46" spans="1:44" s="296" customFormat="1" x14ac:dyDescent="0.25">
      <c r="A46" s="294"/>
      <c r="B46" s="294"/>
      <c r="C46" s="294"/>
      <c r="D46" s="294"/>
      <c r="E46" s="310"/>
      <c r="F46" s="310"/>
      <c r="G46" s="294"/>
      <c r="H46" s="294"/>
      <c r="I46" s="311"/>
      <c r="J46" s="305"/>
      <c r="K46" s="305"/>
      <c r="L46" s="294"/>
      <c r="M46" s="294"/>
      <c r="N46" s="294"/>
      <c r="O46" s="311"/>
      <c r="P46" s="294"/>
      <c r="Q46" s="295"/>
      <c r="R46" s="295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</row>
    <row r="47" spans="1:44" s="296" customFormat="1" ht="15.75" thickBot="1" x14ac:dyDescent="0.3">
      <c r="A47" s="294"/>
      <c r="B47" s="294"/>
      <c r="C47" s="294"/>
      <c r="D47" s="294"/>
      <c r="E47" s="307" t="s">
        <v>235</v>
      </c>
      <c r="F47" s="307"/>
      <c r="G47" s="294"/>
      <c r="H47" s="294"/>
      <c r="I47" s="312">
        <f>SUM(I43:I46)</f>
        <v>-7786.5752300000313</v>
      </c>
      <c r="J47" s="305"/>
      <c r="K47" s="305"/>
      <c r="L47" s="294"/>
      <c r="M47" s="294"/>
      <c r="N47" s="294"/>
      <c r="O47" s="312">
        <f>SUM(O43:O46)</f>
        <v>-72991.575230000031</v>
      </c>
      <c r="P47" s="299"/>
      <c r="Q47" s="300">
        <f>O47-O38</f>
        <v>-97771.078668542003</v>
      </c>
      <c r="R47" s="300">
        <f>'FT-12-31-2018 TB'!F143</f>
        <v>-97771</v>
      </c>
      <c r="S47" s="299">
        <f>R47-Q47</f>
        <v>7.8668542002560571E-2</v>
      </c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</row>
    <row r="48" spans="1:44" s="296" customFormat="1" ht="15.75" thickTop="1" x14ac:dyDescent="0.25">
      <c r="A48" s="294"/>
      <c r="B48" s="294"/>
      <c r="C48" s="294"/>
      <c r="D48" s="294"/>
      <c r="E48" s="307"/>
      <c r="F48" s="307"/>
      <c r="G48" s="294"/>
      <c r="H48" s="294"/>
      <c r="I48" s="313"/>
      <c r="J48" s="305"/>
      <c r="K48" s="305"/>
      <c r="L48" s="294"/>
      <c r="M48" s="294"/>
      <c r="N48" s="294"/>
      <c r="O48" s="294"/>
      <c r="P48" s="294"/>
      <c r="Q48" s="295"/>
      <c r="R48" s="295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</row>
    <row r="49" spans="1:44" x14ac:dyDescent="0.25">
      <c r="A49" s="22"/>
      <c r="B49" s="22"/>
      <c r="C49" s="51"/>
      <c r="D49" s="51"/>
      <c r="E49" s="52"/>
      <c r="F49" s="52"/>
      <c r="G49" s="51"/>
      <c r="H49" s="51"/>
      <c r="I49" s="53"/>
      <c r="J49" s="54"/>
      <c r="K49" s="54"/>
      <c r="L49" s="51"/>
      <c r="M49" s="51"/>
      <c r="N49" s="51"/>
      <c r="O49" s="51"/>
      <c r="P49" s="51"/>
      <c r="Q49" s="214"/>
      <c r="R49" s="214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4" x14ac:dyDescent="0.25">
      <c r="A50" s="22"/>
      <c r="B50" s="22"/>
      <c r="C50" s="22"/>
      <c r="D50" s="22"/>
      <c r="E50" s="44"/>
      <c r="F50" s="44"/>
      <c r="G50" s="22"/>
      <c r="H50" s="22"/>
      <c r="I50" s="50"/>
      <c r="J50" s="43"/>
      <c r="K50" s="43"/>
      <c r="L50" s="22"/>
      <c r="M50" s="22"/>
      <c r="N50" s="22"/>
      <c r="O50" s="22"/>
      <c r="P50" s="22"/>
      <c r="Q50" s="214"/>
      <c r="R50" s="214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4" x14ac:dyDescent="0.25">
      <c r="A51" s="22"/>
      <c r="B51" s="22"/>
      <c r="C51" s="22"/>
      <c r="D51" s="22"/>
      <c r="E51" s="22"/>
      <c r="F51" s="22"/>
      <c r="G51" s="22"/>
      <c r="H51" s="22"/>
      <c r="I51" s="43"/>
      <c r="J51" s="43"/>
      <c r="K51" s="43"/>
      <c r="L51" s="22"/>
      <c r="M51" s="22"/>
      <c r="N51" s="22"/>
      <c r="O51" s="22"/>
      <c r="P51" s="22"/>
      <c r="Q51" s="314"/>
      <c r="R51" s="214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41" t="s">
        <v>1272</v>
      </c>
      <c r="L52" s="41" t="s">
        <v>201</v>
      </c>
      <c r="M52" s="26">
        <f>'FT-12-31-2018 TB'!C119</f>
        <v>-115109</v>
      </c>
      <c r="N52" s="22"/>
      <c r="O52" s="26">
        <f>'FT-12-31-2018 TB'!F119</f>
        <v>-160884</v>
      </c>
      <c r="P52" s="22"/>
      <c r="Q52" s="214"/>
      <c r="R52" s="214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1:4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5"/>
      <c r="N53" s="22"/>
      <c r="O53" s="25"/>
      <c r="P53" s="22"/>
      <c r="Q53" s="214"/>
      <c r="R53" s="214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1:4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6">
        <f>M40-M52</f>
        <v>-19980.496561458043</v>
      </c>
      <c r="N54" s="22"/>
      <c r="O54" s="26">
        <f>O40-O52</f>
        <v>-0.49656145804328844</v>
      </c>
      <c r="P54" s="22"/>
      <c r="Q54" s="214"/>
      <c r="R54" s="214"/>
      <c r="S54" s="4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spans="1:4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43"/>
      <c r="N55" s="22"/>
      <c r="O55" s="22"/>
      <c r="P55" s="22"/>
      <c r="Q55" s="214"/>
      <c r="R55" s="214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spans="1:4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14"/>
      <c r="R56" s="214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spans="1:44" x14ac:dyDescent="0.25">
      <c r="A57" s="22"/>
      <c r="B57" s="22"/>
      <c r="C57" s="22"/>
      <c r="D57" s="230" t="s">
        <v>132</v>
      </c>
      <c r="E57" s="230" t="s">
        <v>192</v>
      </c>
      <c r="F57" s="230"/>
      <c r="G57" s="22"/>
      <c r="H57" s="22"/>
      <c r="I57" s="22"/>
      <c r="J57" s="22"/>
      <c r="K57" s="22"/>
      <c r="L57" s="22"/>
      <c r="M57" s="26">
        <f>M38</f>
        <v>2643.5034385419713</v>
      </c>
      <c r="N57" s="22"/>
      <c r="O57" s="26">
        <f>O38</f>
        <v>24779.503438541971</v>
      </c>
      <c r="P57" s="22"/>
      <c r="Q57" s="214"/>
      <c r="R57" s="214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spans="1:44" x14ac:dyDescent="0.25">
      <c r="A58" s="22"/>
      <c r="B58" s="22"/>
      <c r="C58" s="22"/>
      <c r="D58" s="230" t="s">
        <v>132</v>
      </c>
      <c r="E58" s="22" t="s">
        <v>201</v>
      </c>
      <c r="F58" s="22"/>
      <c r="G58" s="22"/>
      <c r="H58" s="22"/>
      <c r="I58" s="22"/>
      <c r="J58" s="22"/>
      <c r="K58" s="22"/>
      <c r="L58" s="22"/>
      <c r="M58" s="27">
        <f>'FT-12-31-2018 TB'!C117</f>
        <v>24791</v>
      </c>
      <c r="N58" s="22"/>
      <c r="O58" s="27">
        <f>'FT-12-31-2018 TB'!F117</f>
        <v>24780</v>
      </c>
      <c r="P58" s="22"/>
      <c r="Q58" s="214"/>
      <c r="R58" s="214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spans="1:4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5"/>
      <c r="N59" s="22"/>
      <c r="O59" s="25"/>
      <c r="P59" s="22"/>
      <c r="Q59" s="214"/>
      <c r="R59" s="214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1:4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7">
        <f>M57-M58</f>
        <v>-22147.496561458029</v>
      </c>
      <c r="N60" s="22"/>
      <c r="O60" s="27">
        <f>O57-O58</f>
        <v>-0.49656145802873652</v>
      </c>
      <c r="P60" s="22"/>
      <c r="Q60" s="315"/>
      <c r="R60" s="214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43"/>
      <c r="N61" s="22"/>
      <c r="O61" s="22"/>
      <c r="P61" s="22"/>
      <c r="Q61" s="214"/>
      <c r="R61" s="214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spans="1:44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42"/>
      <c r="N62" s="22"/>
      <c r="O62" s="22"/>
      <c r="P62" s="22"/>
      <c r="Q62" s="214"/>
      <c r="R62" s="214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14"/>
      <c r="R63" s="214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x14ac:dyDescent="0.25">
      <c r="A64" s="22"/>
      <c r="B64" s="22"/>
      <c r="C64" s="22"/>
      <c r="D64" s="22" t="s">
        <v>205</v>
      </c>
      <c r="E64" s="22" t="s">
        <v>218</v>
      </c>
      <c r="F64" s="22"/>
      <c r="G64" s="22"/>
      <c r="H64" s="22"/>
      <c r="I64" s="22"/>
      <c r="J64" s="22"/>
      <c r="K64" s="22"/>
      <c r="L64" s="43"/>
      <c r="M64" s="26">
        <f>-I40</f>
        <v>-45619.118734177217</v>
      </c>
      <c r="N64" s="22"/>
      <c r="O64" s="26">
        <f>O43-I38</f>
        <v>-45619.118734177217</v>
      </c>
      <c r="P64" s="27"/>
      <c r="Q64" s="314"/>
      <c r="R64" s="214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x14ac:dyDescent="0.25">
      <c r="A65" s="22"/>
      <c r="B65" s="22"/>
      <c r="C65" s="22"/>
      <c r="D65" s="22" t="s">
        <v>206</v>
      </c>
      <c r="E65" s="22" t="s">
        <v>219</v>
      </c>
      <c r="F65" s="22"/>
      <c r="G65" s="22"/>
      <c r="H65" s="22"/>
      <c r="I65" s="22"/>
      <c r="J65" s="22"/>
      <c r="K65" s="28"/>
      <c r="L65" s="28"/>
      <c r="M65" s="28">
        <f>-J40-K40</f>
        <v>35189.040065635214</v>
      </c>
      <c r="N65" s="22"/>
      <c r="O65" s="316">
        <f>-J40-K40-N38+J45</f>
        <v>-52151.959934364786</v>
      </c>
      <c r="P65" s="28"/>
      <c r="Q65" s="316"/>
      <c r="R65" s="214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5"/>
      <c r="N66" s="22"/>
      <c r="O66" s="25"/>
      <c r="P66" s="214"/>
      <c r="Q66" s="214"/>
      <c r="R66" s="214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6">
        <f>SUM(M64:M66)</f>
        <v>-10430.078668542003</v>
      </c>
      <c r="N67" s="22"/>
      <c r="O67" s="26">
        <f>SUM(O64:O66)</f>
        <v>-97771.078668542003</v>
      </c>
      <c r="P67" s="314"/>
      <c r="Q67" s="317"/>
      <c r="R67" s="214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6"/>
      <c r="N68" s="22"/>
      <c r="O68" s="26"/>
      <c r="P68" s="26"/>
      <c r="Q68" s="317"/>
      <c r="R68" s="214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41" t="s">
        <v>201</v>
      </c>
      <c r="M69" s="26">
        <f>'FT-12-31-2018 TB'!C143</f>
        <v>-97813</v>
      </c>
      <c r="N69" s="22"/>
      <c r="O69" s="26">
        <f>'FT-12-31-2018 TB'!F143</f>
        <v>-97771</v>
      </c>
      <c r="P69" s="26"/>
      <c r="Q69" s="317"/>
      <c r="R69" s="214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 t="s">
        <v>1215</v>
      </c>
      <c r="M70" s="26">
        <f>M67-M69</f>
        <v>87382.921331457997</v>
      </c>
      <c r="N70" s="22"/>
      <c r="O70" s="26">
        <f>O67-O69</f>
        <v>-7.8668542002560571E-2</v>
      </c>
      <c r="P70" s="60"/>
      <c r="Q70" s="26"/>
      <c r="R70" s="214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8"/>
      <c r="P71" s="22"/>
      <c r="Q71" s="214"/>
      <c r="R71" s="214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x14ac:dyDescent="0.25">
      <c r="A72" s="22"/>
      <c r="B72" s="22"/>
      <c r="C72" s="22"/>
      <c r="D72" s="22"/>
      <c r="E72" s="22" t="s">
        <v>237</v>
      </c>
      <c r="F72" s="22"/>
      <c r="G72" s="22"/>
      <c r="H72" s="22"/>
      <c r="I72" s="22"/>
      <c r="J72" s="22"/>
      <c r="K72" s="22"/>
      <c r="L72" s="22"/>
      <c r="M72" s="26">
        <f>-J40</f>
        <v>16807.98339026187</v>
      </c>
      <c r="N72" s="22"/>
      <c r="O72" s="26">
        <f>-J40+N44-N36</f>
        <v>16807.98339026187</v>
      </c>
      <c r="P72" s="22"/>
      <c r="Q72" s="214"/>
      <c r="R72" s="214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x14ac:dyDescent="0.25">
      <c r="A73" s="22"/>
      <c r="B73" s="22"/>
      <c r="C73" s="22"/>
      <c r="D73" s="22"/>
      <c r="E73" s="22" t="s">
        <v>238</v>
      </c>
      <c r="F73" s="22"/>
      <c r="G73" s="22"/>
      <c r="H73" s="22"/>
      <c r="I73" s="22"/>
      <c r="J73" s="22"/>
      <c r="K73" s="22"/>
      <c r="L73" s="22"/>
      <c r="M73" s="26">
        <f>-K40</f>
        <v>18381.056675373344</v>
      </c>
      <c r="N73" s="22"/>
      <c r="O73" s="26">
        <f>-K40+J45-N38</f>
        <v>-68959.943324626656</v>
      </c>
      <c r="P73" s="22"/>
      <c r="Q73" s="214"/>
      <c r="R73" s="214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5"/>
      <c r="N74" s="22"/>
      <c r="O74" s="25"/>
      <c r="P74" s="22"/>
      <c r="Q74" s="214"/>
      <c r="R74" s="214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6">
        <f>SUM(M72:M74)</f>
        <v>35189.040065635214</v>
      </c>
      <c r="N75" s="22"/>
      <c r="O75" s="26">
        <f>SUM(O72:O74)</f>
        <v>-52151.959934364786</v>
      </c>
      <c r="P75" s="27"/>
      <c r="Q75" s="214"/>
      <c r="R75" s="214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14"/>
      <c r="R76" s="214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8">
        <f>M65-M75</f>
        <v>0</v>
      </c>
      <c r="N77" s="22"/>
      <c r="O77" s="28">
        <f>O65-O75</f>
        <v>0</v>
      </c>
      <c r="P77" s="22"/>
      <c r="Q77" s="214"/>
      <c r="R77" s="214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7"/>
      <c r="N78" s="22"/>
      <c r="O78" s="27"/>
      <c r="P78" s="22"/>
      <c r="Q78" s="214"/>
      <c r="R78" s="214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43"/>
      <c r="M79" s="28"/>
      <c r="N79" s="22"/>
      <c r="O79" s="28"/>
      <c r="P79" s="22"/>
      <c r="Q79" s="214"/>
      <c r="R79" s="214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14"/>
      <c r="P80" s="214"/>
      <c r="Q80" s="214"/>
      <c r="R80" s="214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76"/>
      <c r="P81" s="318"/>
      <c r="Q81" s="214"/>
      <c r="R81" s="214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14"/>
      <c r="P82" s="214"/>
      <c r="Q82" s="214"/>
      <c r="R82" s="214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19"/>
      <c r="P83" s="214"/>
      <c r="Q83" s="214"/>
      <c r="R83" s="214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14"/>
      <c r="P84" s="214"/>
      <c r="Q84" s="214"/>
      <c r="R84" s="214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19"/>
      <c r="P85" s="214"/>
      <c r="Q85" s="214"/>
      <c r="R85" s="214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14"/>
      <c r="R86" s="214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14"/>
      <c r="R87" s="214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14"/>
      <c r="R88" s="214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14"/>
      <c r="R89" s="214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14"/>
      <c r="R90" s="214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14"/>
      <c r="R91" s="214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14"/>
      <c r="R92" s="214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14"/>
      <c r="R93" s="214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14"/>
      <c r="R94" s="214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14"/>
      <c r="R95" s="214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14"/>
      <c r="R96" s="214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14"/>
      <c r="R97" s="214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14"/>
      <c r="R98" s="214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14"/>
      <c r="R99" s="214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14"/>
      <c r="R100" s="214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14"/>
      <c r="R101" s="214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14"/>
      <c r="R102" s="214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14"/>
      <c r="R103" s="214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14"/>
      <c r="R104" s="214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14"/>
      <c r="R105" s="214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14"/>
      <c r="R106" s="214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14"/>
      <c r="R107" s="214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14"/>
      <c r="R108" s="214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14"/>
      <c r="R109" s="214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14"/>
      <c r="R110" s="214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14"/>
      <c r="R111" s="214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1:44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14"/>
      <c r="R112" s="214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1:44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14"/>
      <c r="R113" s="214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spans="1:44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14"/>
      <c r="R114" s="214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spans="1:44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14"/>
      <c r="R115" s="214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spans="1:44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14"/>
      <c r="R116" s="214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spans="1:44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14"/>
      <c r="R117" s="214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1:44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14"/>
      <c r="R118" s="214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1:44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14"/>
      <c r="R119" s="214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spans="1:44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14"/>
      <c r="R120" s="214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spans="1:44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14"/>
      <c r="R121" s="214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spans="1:44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14"/>
      <c r="R122" s="214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spans="1:44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14"/>
      <c r="R123" s="214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spans="1:44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14"/>
      <c r="R124" s="214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spans="1:44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14"/>
      <c r="R125" s="214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spans="1:44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14"/>
      <c r="R126" s="214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spans="1:44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14"/>
      <c r="R127" s="214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spans="1:44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14"/>
      <c r="R128" s="214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spans="1:44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14"/>
      <c r="R129" s="214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spans="1:44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14"/>
      <c r="R130" s="214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spans="1:44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14"/>
      <c r="R131" s="214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spans="1:44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14"/>
      <c r="R132" s="214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spans="1:44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14"/>
      <c r="R133" s="214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spans="1:44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14"/>
      <c r="R134" s="214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spans="1:44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14"/>
      <c r="R135" s="214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</sheetData>
  <mergeCells count="5">
    <mergeCell ref="D2:I2"/>
    <mergeCell ref="D3:I3"/>
    <mergeCell ref="D4:I4"/>
    <mergeCell ref="D5:I5"/>
    <mergeCell ref="H6:O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J14"/>
  <sheetViews>
    <sheetView topLeftCell="BS1" workbookViewId="0">
      <selection activeCell="B16" sqref="B16"/>
    </sheetView>
  </sheetViews>
  <sheetFormatPr defaultRowHeight="15" x14ac:dyDescent="0.25"/>
  <cols>
    <col min="1" max="1" width="9.140625" style="327"/>
    <col min="2" max="2" width="11.7109375" style="232" customWidth="1"/>
    <col min="3" max="3" width="35.28515625" style="232" bestFit="1" customWidth="1"/>
    <col min="4" max="4" width="9.140625" style="232"/>
    <col min="5" max="5" width="13.7109375" style="232" bestFit="1" customWidth="1"/>
    <col min="6" max="6" width="12.28515625" style="232" bestFit="1" customWidth="1"/>
    <col min="7" max="7" width="11.7109375" style="232" bestFit="1" customWidth="1"/>
    <col min="8" max="8" width="12.28515625" style="232" bestFit="1" customWidth="1"/>
    <col min="9" max="9" width="11.7109375" style="232" bestFit="1" customWidth="1"/>
    <col min="10" max="10" width="12.28515625" style="232" bestFit="1" customWidth="1"/>
    <col min="11" max="11" width="11.7109375" style="232" bestFit="1" customWidth="1"/>
    <col min="12" max="12" width="12.28515625" style="232" bestFit="1" customWidth="1"/>
    <col min="13" max="13" width="11.7109375" style="232" bestFit="1" customWidth="1"/>
    <col min="14" max="20" width="12.28515625" style="232" bestFit="1" customWidth="1"/>
    <col min="21" max="21" width="11.7109375" style="232" bestFit="1" customWidth="1"/>
    <col min="22" max="22" width="11.28515625" style="232" bestFit="1" customWidth="1"/>
    <col min="23" max="23" width="11.7109375" style="232" bestFit="1" customWidth="1"/>
    <col min="24" max="26" width="12.28515625" style="232" bestFit="1" customWidth="1"/>
    <col min="27" max="27" width="11.7109375" style="232" bestFit="1" customWidth="1"/>
    <col min="28" max="51" width="11.28515625" style="232" bestFit="1" customWidth="1"/>
    <col min="52" max="62" width="10.28515625" style="232" bestFit="1" customWidth="1"/>
    <col min="63" max="88" width="9.7109375" style="232" bestFit="1" customWidth="1"/>
    <col min="89" max="16384" width="9.140625" style="232"/>
  </cols>
  <sheetData>
    <row r="1" spans="1:88" ht="31.5" x14ac:dyDescent="0.5">
      <c r="B1" s="260" t="s">
        <v>1261</v>
      </c>
    </row>
    <row r="5" spans="1:88" x14ac:dyDescent="0.25">
      <c r="A5" s="327">
        <v>1</v>
      </c>
      <c r="B5" s="261"/>
      <c r="C5" s="262"/>
      <c r="D5" s="262"/>
      <c r="E5" s="263" t="s">
        <v>154</v>
      </c>
      <c r="F5" s="264">
        <v>2018</v>
      </c>
      <c r="G5" s="265">
        <v>2019</v>
      </c>
      <c r="H5" s="265">
        <v>2020</v>
      </c>
      <c r="I5" s="265">
        <v>2021</v>
      </c>
      <c r="J5" s="265">
        <v>2022</v>
      </c>
      <c r="K5" s="265">
        <v>2023</v>
      </c>
      <c r="L5" s="265">
        <v>2024</v>
      </c>
      <c r="M5" s="265">
        <v>2025</v>
      </c>
      <c r="N5" s="265">
        <v>2026</v>
      </c>
      <c r="O5" s="265">
        <v>2027</v>
      </c>
      <c r="P5" s="265">
        <v>2028</v>
      </c>
      <c r="Q5" s="265">
        <v>2029</v>
      </c>
      <c r="R5" s="265">
        <v>2030</v>
      </c>
      <c r="S5" s="264">
        <v>2031</v>
      </c>
      <c r="T5" s="265">
        <v>2032</v>
      </c>
      <c r="U5" s="265">
        <v>2033</v>
      </c>
      <c r="V5" s="265">
        <v>2034</v>
      </c>
      <c r="W5" s="265">
        <v>2035</v>
      </c>
      <c r="X5" s="265">
        <v>2036</v>
      </c>
      <c r="Y5" s="265">
        <v>2037</v>
      </c>
      <c r="Z5" s="265">
        <v>2038</v>
      </c>
      <c r="AA5" s="265">
        <v>2039</v>
      </c>
      <c r="AB5" s="265">
        <v>2040</v>
      </c>
      <c r="AC5" s="265">
        <v>2041</v>
      </c>
      <c r="AD5" s="265">
        <v>2042</v>
      </c>
      <c r="AE5" s="264">
        <v>2043</v>
      </c>
      <c r="AF5" s="265">
        <v>2044</v>
      </c>
      <c r="AG5" s="265">
        <v>2045</v>
      </c>
      <c r="AH5" s="265">
        <v>2046</v>
      </c>
      <c r="AI5" s="265">
        <v>2047</v>
      </c>
      <c r="AJ5" s="265">
        <v>2048</v>
      </c>
      <c r="AK5" s="265">
        <v>2049</v>
      </c>
      <c r="AL5" s="265">
        <v>2050</v>
      </c>
      <c r="AM5" s="265">
        <v>2051</v>
      </c>
      <c r="AN5" s="264">
        <v>2052</v>
      </c>
      <c r="AO5" s="265">
        <v>2053</v>
      </c>
      <c r="AP5" s="265">
        <v>2054</v>
      </c>
      <c r="AQ5" s="265">
        <v>2055</v>
      </c>
      <c r="AR5" s="265">
        <v>2056</v>
      </c>
      <c r="AS5" s="265">
        <v>2057</v>
      </c>
      <c r="AT5" s="265">
        <v>2058</v>
      </c>
      <c r="AU5" s="265">
        <v>2059</v>
      </c>
      <c r="AV5" s="265">
        <v>2060</v>
      </c>
      <c r="AW5" s="265">
        <v>2061</v>
      </c>
      <c r="AX5" s="265">
        <v>2062</v>
      </c>
      <c r="AY5" s="265">
        <v>2063</v>
      </c>
      <c r="AZ5" s="265">
        <v>2064</v>
      </c>
      <c r="BA5" s="265">
        <v>2065</v>
      </c>
      <c r="BB5" s="265">
        <v>2066</v>
      </c>
      <c r="BC5" s="265">
        <v>2067</v>
      </c>
      <c r="BD5" s="265">
        <v>2068</v>
      </c>
      <c r="BE5" s="265">
        <v>2069</v>
      </c>
      <c r="BF5" s="265">
        <v>2070</v>
      </c>
      <c r="BG5" s="265">
        <v>2071</v>
      </c>
      <c r="BH5" s="265">
        <v>2072</v>
      </c>
      <c r="BI5" s="265">
        <v>2073</v>
      </c>
      <c r="BJ5" s="265">
        <v>2074</v>
      </c>
      <c r="BK5" s="265">
        <v>2075</v>
      </c>
      <c r="BL5" s="265">
        <v>2076</v>
      </c>
      <c r="BM5" s="265">
        <v>2077</v>
      </c>
      <c r="BN5" s="265">
        <v>2078</v>
      </c>
      <c r="BO5" s="265">
        <v>2079</v>
      </c>
      <c r="BP5" s="265">
        <v>2080</v>
      </c>
      <c r="BQ5" s="265">
        <v>2081</v>
      </c>
      <c r="BR5" s="265">
        <v>2082</v>
      </c>
      <c r="BS5" s="265">
        <v>2083</v>
      </c>
      <c r="BT5" s="265">
        <v>2084</v>
      </c>
      <c r="BU5" s="265">
        <v>2085</v>
      </c>
      <c r="BV5" s="265">
        <v>2086</v>
      </c>
      <c r="BW5" s="265">
        <v>2087</v>
      </c>
      <c r="BX5" s="265">
        <v>2088</v>
      </c>
      <c r="BY5" s="265">
        <v>2089</v>
      </c>
      <c r="BZ5" s="265">
        <v>2090</v>
      </c>
      <c r="CA5" s="265">
        <v>2091</v>
      </c>
      <c r="CB5" s="265">
        <v>2092</v>
      </c>
      <c r="CC5" s="265">
        <v>2093</v>
      </c>
      <c r="CD5" s="265">
        <v>2094</v>
      </c>
      <c r="CE5" s="265">
        <v>2095</v>
      </c>
      <c r="CF5" s="265">
        <v>2096</v>
      </c>
      <c r="CG5" s="265">
        <v>2097</v>
      </c>
      <c r="CH5" s="265">
        <v>2098</v>
      </c>
      <c r="CI5" s="265">
        <v>2099</v>
      </c>
      <c r="CJ5" s="265">
        <v>2100</v>
      </c>
    </row>
    <row r="6" spans="1:88" x14ac:dyDescent="0.25">
      <c r="A6" s="327">
        <v>2</v>
      </c>
      <c r="B6" s="232" t="s">
        <v>1262</v>
      </c>
      <c r="C6" s="62" t="s">
        <v>1258</v>
      </c>
      <c r="D6" s="62"/>
      <c r="E6" s="62">
        <v>34056.953091000018</v>
      </c>
      <c r="F6" s="62">
        <v>606.44499983297965</v>
      </c>
      <c r="G6" s="62">
        <v>712.44356531245262</v>
      </c>
      <c r="H6" s="62">
        <v>786.05928511929778</v>
      </c>
      <c r="I6" s="62">
        <v>904.03750406053427</v>
      </c>
      <c r="J6" s="62">
        <v>988.52288507978074</v>
      </c>
      <c r="K6" s="62">
        <v>1054.0643769623425</v>
      </c>
      <c r="L6" s="62">
        <v>1069.5954750540661</v>
      </c>
      <c r="M6" s="62">
        <v>1070.7213480540661</v>
      </c>
      <c r="N6" s="62">
        <v>1070.7226450891151</v>
      </c>
      <c r="O6" s="62">
        <v>1070.7213610365418</v>
      </c>
      <c r="P6" s="62">
        <v>1070.7199990891149</v>
      </c>
      <c r="Q6" s="62">
        <v>1568.8992539526234</v>
      </c>
      <c r="R6" s="62">
        <v>1373.9012535800323</v>
      </c>
      <c r="S6" s="62">
        <v>810.68681323597787</v>
      </c>
      <c r="T6" s="62">
        <v>562.48347908476296</v>
      </c>
      <c r="U6" s="62">
        <v>562.48079521762975</v>
      </c>
      <c r="V6" s="62">
        <v>759.68447632113759</v>
      </c>
      <c r="W6" s="62">
        <v>1003.2149701765243</v>
      </c>
      <c r="X6" s="62">
        <v>1374.1270456595632</v>
      </c>
      <c r="Y6" s="62">
        <v>1634.2921952101919</v>
      </c>
      <c r="Z6" s="62">
        <v>1644.768303800558</v>
      </c>
      <c r="AA6" s="62">
        <v>1644.768303800558</v>
      </c>
      <c r="AB6" s="62">
        <v>1644.7683038005575</v>
      </c>
      <c r="AC6" s="62">
        <v>1644.768303800558</v>
      </c>
      <c r="AD6" s="62">
        <v>1155.2673663505566</v>
      </c>
      <c r="AE6" s="62">
        <v>994.56401694255749</v>
      </c>
      <c r="AF6" s="62">
        <v>994.56401694255703</v>
      </c>
      <c r="AG6" s="62">
        <v>994.56401694255703</v>
      </c>
      <c r="AH6" s="62">
        <v>994.56401694255703</v>
      </c>
      <c r="AI6" s="62">
        <v>622.27112580077051</v>
      </c>
      <c r="AJ6" s="62">
        <v>297.87602634491839</v>
      </c>
      <c r="AK6" s="62">
        <v>297.8760263449185</v>
      </c>
      <c r="AL6" s="62">
        <v>297.73506649019964</v>
      </c>
      <c r="AM6" s="62">
        <v>240.19746348001317</v>
      </c>
      <c r="AN6" s="62">
        <v>106.41852621892977</v>
      </c>
      <c r="AO6" s="62">
        <v>106.30355664343541</v>
      </c>
      <c r="AP6" s="62">
        <v>106.18550196596991</v>
      </c>
      <c r="AQ6" s="62">
        <v>100.69089468584561</v>
      </c>
      <c r="AR6" s="62">
        <v>78.373070340799686</v>
      </c>
      <c r="AS6" s="62">
        <v>36.605456232462949</v>
      </c>
      <c r="AT6" s="62">
        <v>0</v>
      </c>
      <c r="AU6" s="62">
        <v>0</v>
      </c>
      <c r="AV6" s="62">
        <v>0</v>
      </c>
      <c r="AW6" s="62">
        <v>0</v>
      </c>
      <c r="AX6" s="62">
        <v>0</v>
      </c>
      <c r="AY6" s="62">
        <v>0</v>
      </c>
      <c r="AZ6" s="62">
        <v>0</v>
      </c>
      <c r="BA6" s="62">
        <v>0</v>
      </c>
      <c r="BB6" s="62">
        <v>0</v>
      </c>
      <c r="BC6" s="62">
        <v>0</v>
      </c>
      <c r="BD6" s="62">
        <v>0</v>
      </c>
      <c r="BE6" s="62">
        <v>0</v>
      </c>
      <c r="BF6" s="62">
        <v>0</v>
      </c>
      <c r="BG6" s="62">
        <v>0</v>
      </c>
      <c r="BH6" s="62">
        <v>0</v>
      </c>
      <c r="BI6" s="62">
        <v>0</v>
      </c>
      <c r="BJ6" s="62">
        <v>0</v>
      </c>
      <c r="BK6" s="62">
        <v>0</v>
      </c>
      <c r="BL6" s="62">
        <v>0</v>
      </c>
      <c r="BM6" s="62">
        <v>0</v>
      </c>
      <c r="BN6" s="62">
        <v>0</v>
      </c>
      <c r="BO6" s="62">
        <v>0</v>
      </c>
      <c r="BP6" s="62">
        <v>0</v>
      </c>
      <c r="BQ6" s="62">
        <v>0</v>
      </c>
      <c r="BR6" s="62">
        <v>0</v>
      </c>
      <c r="BS6" s="62">
        <v>0</v>
      </c>
      <c r="BT6" s="62">
        <v>0</v>
      </c>
      <c r="BU6" s="62">
        <v>0</v>
      </c>
      <c r="BV6" s="62">
        <v>0</v>
      </c>
      <c r="BW6" s="62">
        <v>0</v>
      </c>
      <c r="BX6" s="62">
        <v>0</v>
      </c>
      <c r="BY6" s="62">
        <v>0</v>
      </c>
      <c r="BZ6" s="62">
        <v>0</v>
      </c>
      <c r="CA6" s="62">
        <v>0</v>
      </c>
      <c r="CB6" s="62">
        <v>0</v>
      </c>
      <c r="CC6" s="62">
        <v>0</v>
      </c>
      <c r="CD6" s="62">
        <v>0</v>
      </c>
      <c r="CE6" s="62">
        <v>0</v>
      </c>
      <c r="CF6" s="62">
        <v>0</v>
      </c>
      <c r="CG6" s="62">
        <v>0</v>
      </c>
      <c r="CH6" s="62">
        <v>0</v>
      </c>
      <c r="CI6" s="62">
        <v>0</v>
      </c>
      <c r="CJ6" s="62">
        <v>0</v>
      </c>
    </row>
    <row r="7" spans="1:88" x14ac:dyDescent="0.25">
      <c r="A7" s="327">
        <v>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</row>
    <row r="8" spans="1:88" x14ac:dyDescent="0.25">
      <c r="A8" s="327">
        <v>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</row>
    <row r="9" spans="1:88" x14ac:dyDescent="0.25">
      <c r="A9" s="327">
        <v>5</v>
      </c>
    </row>
    <row r="10" spans="1:88" s="62" customFormat="1" ht="15.75" thickBot="1" x14ac:dyDescent="0.3">
      <c r="A10" s="327">
        <v>6</v>
      </c>
      <c r="B10" s="75" t="s">
        <v>1263</v>
      </c>
      <c r="C10" s="75" t="s">
        <v>1258</v>
      </c>
      <c r="E10" s="266">
        <f>SUM(E6:E9)</f>
        <v>34056.953091000018</v>
      </c>
      <c r="F10" s="266">
        <f t="shared" ref="F10:BQ10" si="0">SUM(F6:F9)</f>
        <v>606.44499983297965</v>
      </c>
      <c r="G10" s="266">
        <f t="shared" si="0"/>
        <v>712.44356531245262</v>
      </c>
      <c r="H10" s="266">
        <f t="shared" si="0"/>
        <v>786.05928511929778</v>
      </c>
      <c r="I10" s="266">
        <f t="shared" si="0"/>
        <v>904.03750406053427</v>
      </c>
      <c r="J10" s="266">
        <f t="shared" si="0"/>
        <v>988.52288507978074</v>
      </c>
      <c r="K10" s="266">
        <f t="shared" si="0"/>
        <v>1054.0643769623425</v>
      </c>
      <c r="L10" s="266">
        <f t="shared" si="0"/>
        <v>1069.5954750540661</v>
      </c>
      <c r="M10" s="266">
        <f t="shared" si="0"/>
        <v>1070.7213480540661</v>
      </c>
      <c r="N10" s="266">
        <f t="shared" si="0"/>
        <v>1070.7226450891151</v>
      </c>
      <c r="O10" s="266">
        <f t="shared" si="0"/>
        <v>1070.7213610365418</v>
      </c>
      <c r="P10" s="266">
        <f t="shared" si="0"/>
        <v>1070.7199990891149</v>
      </c>
      <c r="Q10" s="266">
        <f t="shared" si="0"/>
        <v>1568.8992539526234</v>
      </c>
      <c r="R10" s="266">
        <f t="shared" si="0"/>
        <v>1373.9012535800323</v>
      </c>
      <c r="S10" s="266">
        <f t="shared" si="0"/>
        <v>810.68681323597787</v>
      </c>
      <c r="T10" s="266">
        <f t="shared" si="0"/>
        <v>562.48347908476296</v>
      </c>
      <c r="U10" s="266">
        <f t="shared" si="0"/>
        <v>562.48079521762975</v>
      </c>
      <c r="V10" s="266">
        <f t="shared" si="0"/>
        <v>759.68447632113759</v>
      </c>
      <c r="W10" s="266">
        <f t="shared" si="0"/>
        <v>1003.2149701765243</v>
      </c>
      <c r="X10" s="266">
        <f t="shared" si="0"/>
        <v>1374.1270456595632</v>
      </c>
      <c r="Y10" s="266">
        <f t="shared" si="0"/>
        <v>1634.2921952101919</v>
      </c>
      <c r="Z10" s="266">
        <f t="shared" si="0"/>
        <v>1644.768303800558</v>
      </c>
      <c r="AA10" s="266">
        <f t="shared" si="0"/>
        <v>1644.768303800558</v>
      </c>
      <c r="AB10" s="266">
        <f t="shared" si="0"/>
        <v>1644.7683038005575</v>
      </c>
      <c r="AC10" s="266">
        <f t="shared" si="0"/>
        <v>1644.768303800558</v>
      </c>
      <c r="AD10" s="266">
        <f t="shared" si="0"/>
        <v>1155.2673663505566</v>
      </c>
      <c r="AE10" s="266">
        <f t="shared" si="0"/>
        <v>994.56401694255749</v>
      </c>
      <c r="AF10" s="266">
        <f t="shared" si="0"/>
        <v>994.56401694255703</v>
      </c>
      <c r="AG10" s="266">
        <f t="shared" si="0"/>
        <v>994.56401694255703</v>
      </c>
      <c r="AH10" s="266">
        <f t="shared" si="0"/>
        <v>994.56401694255703</v>
      </c>
      <c r="AI10" s="266">
        <f t="shared" si="0"/>
        <v>622.27112580077051</v>
      </c>
      <c r="AJ10" s="266">
        <f t="shared" si="0"/>
        <v>297.87602634491839</v>
      </c>
      <c r="AK10" s="266">
        <f t="shared" si="0"/>
        <v>297.8760263449185</v>
      </c>
      <c r="AL10" s="266">
        <f t="shared" si="0"/>
        <v>297.73506649019964</v>
      </c>
      <c r="AM10" s="266">
        <f t="shared" si="0"/>
        <v>240.19746348001317</v>
      </c>
      <c r="AN10" s="266">
        <f t="shared" si="0"/>
        <v>106.41852621892977</v>
      </c>
      <c r="AO10" s="266">
        <f t="shared" si="0"/>
        <v>106.30355664343541</v>
      </c>
      <c r="AP10" s="266">
        <f t="shared" si="0"/>
        <v>106.18550196596991</v>
      </c>
      <c r="AQ10" s="266">
        <f t="shared" si="0"/>
        <v>100.69089468584561</v>
      </c>
      <c r="AR10" s="266">
        <f t="shared" si="0"/>
        <v>78.373070340799686</v>
      </c>
      <c r="AS10" s="266">
        <f t="shared" si="0"/>
        <v>36.605456232462949</v>
      </c>
      <c r="AT10" s="266">
        <f t="shared" si="0"/>
        <v>0</v>
      </c>
      <c r="AU10" s="266">
        <f t="shared" si="0"/>
        <v>0</v>
      </c>
      <c r="AV10" s="266">
        <f t="shared" si="0"/>
        <v>0</v>
      </c>
      <c r="AW10" s="266">
        <f t="shared" si="0"/>
        <v>0</v>
      </c>
      <c r="AX10" s="266">
        <f t="shared" si="0"/>
        <v>0</v>
      </c>
      <c r="AY10" s="266">
        <f t="shared" si="0"/>
        <v>0</v>
      </c>
      <c r="AZ10" s="266">
        <f t="shared" si="0"/>
        <v>0</v>
      </c>
      <c r="BA10" s="266">
        <f t="shared" si="0"/>
        <v>0</v>
      </c>
      <c r="BB10" s="266">
        <f t="shared" si="0"/>
        <v>0</v>
      </c>
      <c r="BC10" s="266">
        <f t="shared" si="0"/>
        <v>0</v>
      </c>
      <c r="BD10" s="266">
        <f t="shared" si="0"/>
        <v>0</v>
      </c>
      <c r="BE10" s="266">
        <f t="shared" si="0"/>
        <v>0</v>
      </c>
      <c r="BF10" s="266">
        <f t="shared" si="0"/>
        <v>0</v>
      </c>
      <c r="BG10" s="266">
        <f t="shared" si="0"/>
        <v>0</v>
      </c>
      <c r="BH10" s="266">
        <f t="shared" si="0"/>
        <v>0</v>
      </c>
      <c r="BI10" s="266">
        <f t="shared" si="0"/>
        <v>0</v>
      </c>
      <c r="BJ10" s="266">
        <f t="shared" si="0"/>
        <v>0</v>
      </c>
      <c r="BK10" s="266">
        <f t="shared" si="0"/>
        <v>0</v>
      </c>
      <c r="BL10" s="266">
        <f t="shared" si="0"/>
        <v>0</v>
      </c>
      <c r="BM10" s="266">
        <f t="shared" si="0"/>
        <v>0</v>
      </c>
      <c r="BN10" s="266">
        <f t="shared" si="0"/>
        <v>0</v>
      </c>
      <c r="BO10" s="266">
        <f t="shared" si="0"/>
        <v>0</v>
      </c>
      <c r="BP10" s="266">
        <f t="shared" si="0"/>
        <v>0</v>
      </c>
      <c r="BQ10" s="266">
        <f t="shared" si="0"/>
        <v>0</v>
      </c>
      <c r="BR10" s="266">
        <f t="shared" ref="BR10:CJ10" si="1">SUM(BR6:BR9)</f>
        <v>0</v>
      </c>
      <c r="BS10" s="266">
        <f t="shared" si="1"/>
        <v>0</v>
      </c>
      <c r="BT10" s="266">
        <f t="shared" si="1"/>
        <v>0</v>
      </c>
      <c r="BU10" s="266">
        <f t="shared" si="1"/>
        <v>0</v>
      </c>
      <c r="BV10" s="266">
        <f t="shared" si="1"/>
        <v>0</v>
      </c>
      <c r="BW10" s="266">
        <f t="shared" si="1"/>
        <v>0</v>
      </c>
      <c r="BX10" s="266">
        <f t="shared" si="1"/>
        <v>0</v>
      </c>
      <c r="BY10" s="266">
        <f t="shared" si="1"/>
        <v>0</v>
      </c>
      <c r="BZ10" s="266">
        <f t="shared" si="1"/>
        <v>0</v>
      </c>
      <c r="CA10" s="266">
        <f t="shared" si="1"/>
        <v>0</v>
      </c>
      <c r="CB10" s="266">
        <f t="shared" si="1"/>
        <v>0</v>
      </c>
      <c r="CC10" s="266">
        <f t="shared" si="1"/>
        <v>0</v>
      </c>
      <c r="CD10" s="266">
        <f t="shared" si="1"/>
        <v>0</v>
      </c>
      <c r="CE10" s="266">
        <f t="shared" si="1"/>
        <v>0</v>
      </c>
      <c r="CF10" s="266">
        <f t="shared" si="1"/>
        <v>0</v>
      </c>
      <c r="CG10" s="266">
        <f t="shared" si="1"/>
        <v>0</v>
      </c>
      <c r="CH10" s="266">
        <f t="shared" si="1"/>
        <v>0</v>
      </c>
      <c r="CI10" s="266">
        <f t="shared" si="1"/>
        <v>0</v>
      </c>
      <c r="CJ10" s="266">
        <f t="shared" si="1"/>
        <v>0</v>
      </c>
    </row>
    <row r="11" spans="1:88" x14ac:dyDescent="0.25">
      <c r="A11" s="327">
        <v>7</v>
      </c>
    </row>
    <row r="12" spans="1:88" x14ac:dyDescent="0.25">
      <c r="A12" s="327">
        <v>8</v>
      </c>
      <c r="C12" s="267" t="s">
        <v>1259</v>
      </c>
      <c r="E12" s="75">
        <f>E14-E10</f>
        <v>11562.046908999982</v>
      </c>
      <c r="F12" s="75">
        <f t="shared" ref="F12:BQ12" si="2">F14-F10</f>
        <v>205.55500016702035</v>
      </c>
      <c r="G12" s="75">
        <f t="shared" si="2"/>
        <v>241.55643468754738</v>
      </c>
      <c r="H12" s="75">
        <f t="shared" si="2"/>
        <v>266.94071488070222</v>
      </c>
      <c r="I12" s="75">
        <f t="shared" si="2"/>
        <v>306.96249593946573</v>
      </c>
      <c r="J12" s="75">
        <f t="shared" si="2"/>
        <v>335.47711492021926</v>
      </c>
      <c r="K12" s="75">
        <f t="shared" si="2"/>
        <v>357.93562303765748</v>
      </c>
      <c r="L12" s="75">
        <f t="shared" si="2"/>
        <v>363.40452494593387</v>
      </c>
      <c r="M12" s="75">
        <f t="shared" si="2"/>
        <v>363.27865194593392</v>
      </c>
      <c r="N12" s="75">
        <f t="shared" si="2"/>
        <v>363.27735491088492</v>
      </c>
      <c r="O12" s="75">
        <f t="shared" si="2"/>
        <v>363.27863896345821</v>
      </c>
      <c r="P12" s="75">
        <f t="shared" si="2"/>
        <v>363.28000091088506</v>
      </c>
      <c r="Q12" s="75">
        <f t="shared" si="2"/>
        <v>533.10074604737656</v>
      </c>
      <c r="R12" s="75">
        <f t="shared" si="2"/>
        <v>466.09874641996771</v>
      </c>
      <c r="S12" s="75">
        <f t="shared" si="2"/>
        <v>275.31318676402213</v>
      </c>
      <c r="T12" s="75">
        <f t="shared" si="2"/>
        <v>190.51652091523704</v>
      </c>
      <c r="U12" s="75">
        <f t="shared" si="2"/>
        <v>190.51920478237025</v>
      </c>
      <c r="V12" s="75">
        <f t="shared" si="2"/>
        <v>258.31552367886241</v>
      </c>
      <c r="W12" s="75">
        <f t="shared" si="2"/>
        <v>340.78502982347572</v>
      </c>
      <c r="X12" s="75">
        <f t="shared" si="2"/>
        <v>466.87295434043676</v>
      </c>
      <c r="Y12" s="75">
        <f t="shared" si="2"/>
        <v>554.70780478980805</v>
      </c>
      <c r="Z12" s="75">
        <f t="shared" si="2"/>
        <v>558.23169619944201</v>
      </c>
      <c r="AA12" s="75">
        <f t="shared" si="2"/>
        <v>558.23169619944201</v>
      </c>
      <c r="AB12" s="75">
        <f t="shared" si="2"/>
        <v>558.23169619944247</v>
      </c>
      <c r="AC12" s="75">
        <f t="shared" si="2"/>
        <v>558.23169619944201</v>
      </c>
      <c r="AD12" s="75">
        <f t="shared" si="2"/>
        <v>391.73263364944341</v>
      </c>
      <c r="AE12" s="75">
        <f t="shared" si="2"/>
        <v>337.43598305744251</v>
      </c>
      <c r="AF12" s="75">
        <f t="shared" si="2"/>
        <v>337.43598305744297</v>
      </c>
      <c r="AG12" s="75">
        <f t="shared" si="2"/>
        <v>337.43598305744297</v>
      </c>
      <c r="AH12" s="75">
        <f t="shared" si="2"/>
        <v>337.43598305744297</v>
      </c>
      <c r="AI12" s="75">
        <f t="shared" si="2"/>
        <v>211.72887419922949</v>
      </c>
      <c r="AJ12" s="75">
        <f t="shared" si="2"/>
        <v>101.12397365508161</v>
      </c>
      <c r="AK12" s="75">
        <f t="shared" si="2"/>
        <v>101.1239736550815</v>
      </c>
      <c r="AL12" s="75">
        <f t="shared" si="2"/>
        <v>101.26493350980036</v>
      </c>
      <c r="AM12" s="75">
        <f t="shared" si="2"/>
        <v>81.80253651998683</v>
      </c>
      <c r="AN12" s="75">
        <f t="shared" si="2"/>
        <v>36.58147378107023</v>
      </c>
      <c r="AO12" s="75">
        <f t="shared" si="2"/>
        <v>35.696443356564586</v>
      </c>
      <c r="AP12" s="75">
        <f t="shared" si="2"/>
        <v>35.814498034030095</v>
      </c>
      <c r="AQ12" s="75">
        <f t="shared" si="2"/>
        <v>34.309105314154394</v>
      </c>
      <c r="AR12" s="75">
        <f t="shared" si="2"/>
        <v>26.626929659200314</v>
      </c>
      <c r="AS12" s="75">
        <f t="shared" si="2"/>
        <v>12.394543767537051</v>
      </c>
      <c r="AT12" s="75">
        <f t="shared" si="2"/>
        <v>0</v>
      </c>
      <c r="AU12" s="75">
        <f t="shared" si="2"/>
        <v>0</v>
      </c>
      <c r="AV12" s="75">
        <f t="shared" si="2"/>
        <v>0</v>
      </c>
      <c r="AW12" s="75">
        <f t="shared" si="2"/>
        <v>0</v>
      </c>
      <c r="AX12" s="75">
        <f t="shared" si="2"/>
        <v>0</v>
      </c>
      <c r="AY12" s="75">
        <f t="shared" si="2"/>
        <v>0</v>
      </c>
      <c r="AZ12" s="75">
        <f t="shared" si="2"/>
        <v>0</v>
      </c>
      <c r="BA12" s="75">
        <f t="shared" si="2"/>
        <v>0</v>
      </c>
      <c r="BB12" s="75">
        <f t="shared" si="2"/>
        <v>0</v>
      </c>
      <c r="BC12" s="75">
        <f t="shared" si="2"/>
        <v>0</v>
      </c>
      <c r="BD12" s="75">
        <f t="shared" si="2"/>
        <v>0</v>
      </c>
      <c r="BE12" s="75">
        <f t="shared" si="2"/>
        <v>0</v>
      </c>
      <c r="BF12" s="75">
        <f t="shared" si="2"/>
        <v>0</v>
      </c>
      <c r="BG12" s="75">
        <f t="shared" si="2"/>
        <v>0</v>
      </c>
      <c r="BH12" s="75">
        <f t="shared" si="2"/>
        <v>0</v>
      </c>
      <c r="BI12" s="75">
        <f t="shared" si="2"/>
        <v>0</v>
      </c>
      <c r="BJ12" s="75">
        <f t="shared" si="2"/>
        <v>0</v>
      </c>
      <c r="BK12" s="75">
        <f t="shared" si="2"/>
        <v>0</v>
      </c>
      <c r="BL12" s="75">
        <f t="shared" si="2"/>
        <v>0</v>
      </c>
      <c r="BM12" s="75">
        <f t="shared" si="2"/>
        <v>0</v>
      </c>
      <c r="BN12" s="75">
        <f t="shared" si="2"/>
        <v>0</v>
      </c>
      <c r="BO12" s="75">
        <f t="shared" si="2"/>
        <v>0</v>
      </c>
      <c r="BP12" s="75">
        <f t="shared" si="2"/>
        <v>0</v>
      </c>
      <c r="BQ12" s="75">
        <f t="shared" si="2"/>
        <v>0</v>
      </c>
      <c r="BR12" s="75">
        <f t="shared" ref="BR12:CJ12" si="3">BR14-BR10</f>
        <v>0</v>
      </c>
      <c r="BS12" s="75">
        <f t="shared" si="3"/>
        <v>0</v>
      </c>
      <c r="BT12" s="75">
        <f t="shared" si="3"/>
        <v>0</v>
      </c>
      <c r="BU12" s="75">
        <f t="shared" si="3"/>
        <v>0</v>
      </c>
      <c r="BV12" s="75">
        <f t="shared" si="3"/>
        <v>0</v>
      </c>
      <c r="BW12" s="75">
        <f t="shared" si="3"/>
        <v>0</v>
      </c>
      <c r="BX12" s="75">
        <f t="shared" si="3"/>
        <v>0</v>
      </c>
      <c r="BY12" s="75">
        <f t="shared" si="3"/>
        <v>0</v>
      </c>
      <c r="BZ12" s="75">
        <f t="shared" si="3"/>
        <v>0</v>
      </c>
      <c r="CA12" s="75">
        <f t="shared" si="3"/>
        <v>0</v>
      </c>
      <c r="CB12" s="75">
        <f t="shared" si="3"/>
        <v>0</v>
      </c>
      <c r="CC12" s="75">
        <f t="shared" si="3"/>
        <v>0</v>
      </c>
      <c r="CD12" s="75">
        <f t="shared" si="3"/>
        <v>0</v>
      </c>
      <c r="CE12" s="75">
        <f t="shared" si="3"/>
        <v>0</v>
      </c>
      <c r="CF12" s="75">
        <f t="shared" si="3"/>
        <v>0</v>
      </c>
      <c r="CG12" s="75">
        <f t="shared" si="3"/>
        <v>0</v>
      </c>
      <c r="CH12" s="75">
        <f t="shared" si="3"/>
        <v>0</v>
      </c>
      <c r="CI12" s="75">
        <f t="shared" si="3"/>
        <v>0</v>
      </c>
      <c r="CJ12" s="75">
        <f t="shared" si="3"/>
        <v>0</v>
      </c>
    </row>
    <row r="13" spans="1:88" x14ac:dyDescent="0.25">
      <c r="A13" s="327">
        <v>9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</row>
    <row r="14" spans="1:88" ht="15.75" thickBot="1" x14ac:dyDescent="0.3">
      <c r="A14" s="327">
        <v>10</v>
      </c>
      <c r="C14" s="267" t="s">
        <v>1260</v>
      </c>
      <c r="D14" s="232">
        <v>0.25345000000000001</v>
      </c>
      <c r="E14" s="266">
        <f>ROUND(E10/(1-$D$14),0)</f>
        <v>45619</v>
      </c>
      <c r="F14" s="266">
        <f t="shared" ref="F14:BQ14" si="4">ROUND(F10/(1-$D$14),0)</f>
        <v>812</v>
      </c>
      <c r="G14" s="266">
        <f t="shared" si="4"/>
        <v>954</v>
      </c>
      <c r="H14" s="266">
        <f t="shared" si="4"/>
        <v>1053</v>
      </c>
      <c r="I14" s="266">
        <f t="shared" si="4"/>
        <v>1211</v>
      </c>
      <c r="J14" s="266">
        <f t="shared" si="4"/>
        <v>1324</v>
      </c>
      <c r="K14" s="266">
        <f t="shared" si="4"/>
        <v>1412</v>
      </c>
      <c r="L14" s="266">
        <f t="shared" si="4"/>
        <v>1433</v>
      </c>
      <c r="M14" s="266">
        <f t="shared" si="4"/>
        <v>1434</v>
      </c>
      <c r="N14" s="266">
        <f t="shared" si="4"/>
        <v>1434</v>
      </c>
      <c r="O14" s="266">
        <f t="shared" si="4"/>
        <v>1434</v>
      </c>
      <c r="P14" s="266">
        <f t="shared" si="4"/>
        <v>1434</v>
      </c>
      <c r="Q14" s="266">
        <f t="shared" si="4"/>
        <v>2102</v>
      </c>
      <c r="R14" s="266">
        <f t="shared" si="4"/>
        <v>1840</v>
      </c>
      <c r="S14" s="266">
        <f t="shared" si="4"/>
        <v>1086</v>
      </c>
      <c r="T14" s="266">
        <f t="shared" si="4"/>
        <v>753</v>
      </c>
      <c r="U14" s="266">
        <f t="shared" si="4"/>
        <v>753</v>
      </c>
      <c r="V14" s="266">
        <f t="shared" si="4"/>
        <v>1018</v>
      </c>
      <c r="W14" s="266">
        <f t="shared" si="4"/>
        <v>1344</v>
      </c>
      <c r="X14" s="266">
        <f t="shared" si="4"/>
        <v>1841</v>
      </c>
      <c r="Y14" s="266">
        <f t="shared" si="4"/>
        <v>2189</v>
      </c>
      <c r="Z14" s="266">
        <f t="shared" si="4"/>
        <v>2203</v>
      </c>
      <c r="AA14" s="266">
        <f t="shared" si="4"/>
        <v>2203</v>
      </c>
      <c r="AB14" s="266">
        <f t="shared" si="4"/>
        <v>2203</v>
      </c>
      <c r="AC14" s="266">
        <f t="shared" si="4"/>
        <v>2203</v>
      </c>
      <c r="AD14" s="266">
        <f t="shared" si="4"/>
        <v>1547</v>
      </c>
      <c r="AE14" s="266">
        <f t="shared" si="4"/>
        <v>1332</v>
      </c>
      <c r="AF14" s="266">
        <f t="shared" si="4"/>
        <v>1332</v>
      </c>
      <c r="AG14" s="266">
        <f t="shared" si="4"/>
        <v>1332</v>
      </c>
      <c r="AH14" s="266">
        <f t="shared" si="4"/>
        <v>1332</v>
      </c>
      <c r="AI14" s="266">
        <f t="shared" si="4"/>
        <v>834</v>
      </c>
      <c r="AJ14" s="266">
        <f t="shared" si="4"/>
        <v>399</v>
      </c>
      <c r="AK14" s="266">
        <f t="shared" si="4"/>
        <v>399</v>
      </c>
      <c r="AL14" s="266">
        <f t="shared" si="4"/>
        <v>399</v>
      </c>
      <c r="AM14" s="266">
        <f t="shared" si="4"/>
        <v>322</v>
      </c>
      <c r="AN14" s="266">
        <f t="shared" si="4"/>
        <v>143</v>
      </c>
      <c r="AO14" s="266">
        <f t="shared" si="4"/>
        <v>142</v>
      </c>
      <c r="AP14" s="266">
        <f t="shared" si="4"/>
        <v>142</v>
      </c>
      <c r="AQ14" s="266">
        <f t="shared" si="4"/>
        <v>135</v>
      </c>
      <c r="AR14" s="266">
        <f t="shared" si="4"/>
        <v>105</v>
      </c>
      <c r="AS14" s="266">
        <f t="shared" si="4"/>
        <v>49</v>
      </c>
      <c r="AT14" s="266">
        <f t="shared" si="4"/>
        <v>0</v>
      </c>
      <c r="AU14" s="266">
        <f t="shared" si="4"/>
        <v>0</v>
      </c>
      <c r="AV14" s="266">
        <f t="shared" si="4"/>
        <v>0</v>
      </c>
      <c r="AW14" s="266">
        <f t="shared" si="4"/>
        <v>0</v>
      </c>
      <c r="AX14" s="266">
        <f t="shared" si="4"/>
        <v>0</v>
      </c>
      <c r="AY14" s="266">
        <f t="shared" si="4"/>
        <v>0</v>
      </c>
      <c r="AZ14" s="266">
        <f t="shared" si="4"/>
        <v>0</v>
      </c>
      <c r="BA14" s="266">
        <f t="shared" si="4"/>
        <v>0</v>
      </c>
      <c r="BB14" s="266">
        <f t="shared" si="4"/>
        <v>0</v>
      </c>
      <c r="BC14" s="266">
        <f t="shared" si="4"/>
        <v>0</v>
      </c>
      <c r="BD14" s="266">
        <f t="shared" si="4"/>
        <v>0</v>
      </c>
      <c r="BE14" s="266">
        <f t="shared" si="4"/>
        <v>0</v>
      </c>
      <c r="BF14" s="266">
        <f t="shared" si="4"/>
        <v>0</v>
      </c>
      <c r="BG14" s="266">
        <f t="shared" si="4"/>
        <v>0</v>
      </c>
      <c r="BH14" s="266">
        <f t="shared" si="4"/>
        <v>0</v>
      </c>
      <c r="BI14" s="266">
        <f t="shared" si="4"/>
        <v>0</v>
      </c>
      <c r="BJ14" s="266">
        <f t="shared" si="4"/>
        <v>0</v>
      </c>
      <c r="BK14" s="266">
        <f t="shared" si="4"/>
        <v>0</v>
      </c>
      <c r="BL14" s="266">
        <f t="shared" si="4"/>
        <v>0</v>
      </c>
      <c r="BM14" s="266">
        <f t="shared" si="4"/>
        <v>0</v>
      </c>
      <c r="BN14" s="266">
        <f t="shared" si="4"/>
        <v>0</v>
      </c>
      <c r="BO14" s="266">
        <f t="shared" si="4"/>
        <v>0</v>
      </c>
      <c r="BP14" s="266">
        <f t="shared" si="4"/>
        <v>0</v>
      </c>
      <c r="BQ14" s="266">
        <f t="shared" si="4"/>
        <v>0</v>
      </c>
      <c r="BR14" s="266">
        <f t="shared" ref="BR14:CJ14" si="5">ROUND(BR10/(1-$D$14),0)</f>
        <v>0</v>
      </c>
      <c r="BS14" s="266">
        <f t="shared" si="5"/>
        <v>0</v>
      </c>
      <c r="BT14" s="266">
        <f t="shared" si="5"/>
        <v>0</v>
      </c>
      <c r="BU14" s="266">
        <f t="shared" si="5"/>
        <v>0</v>
      </c>
      <c r="BV14" s="266">
        <f t="shared" si="5"/>
        <v>0</v>
      </c>
      <c r="BW14" s="266">
        <f t="shared" si="5"/>
        <v>0</v>
      </c>
      <c r="BX14" s="266">
        <f t="shared" si="5"/>
        <v>0</v>
      </c>
      <c r="BY14" s="266">
        <f t="shared" si="5"/>
        <v>0</v>
      </c>
      <c r="BZ14" s="266">
        <f t="shared" si="5"/>
        <v>0</v>
      </c>
      <c r="CA14" s="266">
        <f t="shared" si="5"/>
        <v>0</v>
      </c>
      <c r="CB14" s="266">
        <f t="shared" si="5"/>
        <v>0</v>
      </c>
      <c r="CC14" s="266">
        <f t="shared" si="5"/>
        <v>0</v>
      </c>
      <c r="CD14" s="266">
        <f t="shared" si="5"/>
        <v>0</v>
      </c>
      <c r="CE14" s="266">
        <f t="shared" si="5"/>
        <v>0</v>
      </c>
      <c r="CF14" s="266">
        <f t="shared" si="5"/>
        <v>0</v>
      </c>
      <c r="CG14" s="266">
        <f t="shared" si="5"/>
        <v>0</v>
      </c>
      <c r="CH14" s="266">
        <f t="shared" si="5"/>
        <v>0</v>
      </c>
      <c r="CI14" s="266">
        <f t="shared" si="5"/>
        <v>0</v>
      </c>
      <c r="CJ14" s="266">
        <f t="shared" si="5"/>
        <v>0</v>
      </c>
    </row>
  </sheetData>
  <pageMargins left="0.7" right="0.7" top="0.75" bottom="0.75" header="0.3" footer="0.3"/>
  <pageSetup scale="68" fitToWidth="8" orientation="landscape" r:id="rId1"/>
  <headerFooter>
    <oddFooter>&amp;L&amp;Z&amp;F&amp;R&amp;P/&amp;N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26"/>
  <sheetViews>
    <sheetView workbookViewId="0">
      <pane ySplit="7" topLeftCell="A136" activePane="bottomLeft" state="frozenSplit"/>
      <selection pane="bottomLeft" activeCell="A25" sqref="A25"/>
    </sheetView>
  </sheetViews>
  <sheetFormatPr defaultRowHeight="12.75" x14ac:dyDescent="0.2"/>
  <cols>
    <col min="1" max="1" width="23.7109375" style="245" customWidth="1"/>
    <col min="2" max="2" width="50.7109375" style="245" customWidth="1"/>
    <col min="3" max="6" width="17.7109375" style="178" customWidth="1"/>
    <col min="7" max="16384" width="9.140625" style="245"/>
  </cols>
  <sheetData>
    <row r="1" spans="1:6" ht="19.5" x14ac:dyDescent="0.4">
      <c r="A1" s="244" t="s">
        <v>425</v>
      </c>
    </row>
    <row r="2" spans="1:6" ht="15" x14ac:dyDescent="0.3">
      <c r="A2" s="246" t="s">
        <v>426</v>
      </c>
    </row>
    <row r="3" spans="1:6" ht="15" x14ac:dyDescent="0.3">
      <c r="A3" s="246" t="s">
        <v>1216</v>
      </c>
    </row>
    <row r="5" spans="1:6" x14ac:dyDescent="0.2">
      <c r="C5" s="180" t="s">
        <v>428</v>
      </c>
      <c r="F5" s="180" t="s">
        <v>429</v>
      </c>
    </row>
    <row r="6" spans="1:6" x14ac:dyDescent="0.2">
      <c r="A6" s="247" t="s">
        <v>430</v>
      </c>
      <c r="B6" s="247" t="s">
        <v>431</v>
      </c>
      <c r="C6" s="182" t="s">
        <v>432</v>
      </c>
      <c r="D6" s="182" t="s">
        <v>433</v>
      </c>
      <c r="E6" s="182" t="s">
        <v>434</v>
      </c>
      <c r="F6" s="182" t="s">
        <v>1217</v>
      </c>
    </row>
    <row r="8" spans="1:6" x14ac:dyDescent="0.2">
      <c r="A8" s="248"/>
      <c r="B8" s="249" t="s">
        <v>436</v>
      </c>
      <c r="C8" s="185"/>
      <c r="D8" s="185"/>
      <c r="E8" s="185"/>
      <c r="F8" s="185"/>
    </row>
    <row r="9" spans="1:6" x14ac:dyDescent="0.2">
      <c r="B9" s="250" t="s">
        <v>437</v>
      </c>
      <c r="C9" s="187">
        <v>-43255.760000000497</v>
      </c>
      <c r="D9" s="187">
        <v>3943142.94</v>
      </c>
      <c r="E9" s="187">
        <v>4060046.22</v>
      </c>
      <c r="F9" s="187">
        <v>-160159.04000000001</v>
      </c>
    </row>
    <row r="10" spans="1:6" x14ac:dyDescent="0.2">
      <c r="B10" s="250" t="s">
        <v>438</v>
      </c>
      <c r="C10" s="178">
        <v>187539.58</v>
      </c>
      <c r="D10" s="178">
        <v>859066.1</v>
      </c>
      <c r="E10" s="178">
        <v>808630.89</v>
      </c>
      <c r="F10" s="178">
        <v>237974.79</v>
      </c>
    </row>
    <row r="11" spans="1:6" x14ac:dyDescent="0.2">
      <c r="B11" s="250" t="s">
        <v>439</v>
      </c>
      <c r="C11" s="178">
        <v>-144283.82</v>
      </c>
      <c r="D11" s="178">
        <v>1132596.3799999999</v>
      </c>
      <c r="E11" s="178">
        <v>1066128.31</v>
      </c>
      <c r="F11" s="178">
        <v>-77815.75</v>
      </c>
    </row>
    <row r="12" spans="1:6" x14ac:dyDescent="0.2">
      <c r="A12" s="251"/>
      <c r="B12" s="252" t="s">
        <v>440</v>
      </c>
      <c r="C12" s="190"/>
      <c r="D12" s="190"/>
      <c r="E12" s="190"/>
      <c r="F12" s="190"/>
    </row>
    <row r="13" spans="1:6" x14ac:dyDescent="0.2">
      <c r="B13" s="250" t="s">
        <v>441</v>
      </c>
      <c r="D13" s="178">
        <v>216291.87</v>
      </c>
      <c r="E13" s="178">
        <v>416670.21</v>
      </c>
      <c r="F13" s="178">
        <v>-200378.34</v>
      </c>
    </row>
    <row r="14" spans="1:6" x14ac:dyDescent="0.2">
      <c r="B14" s="250" t="s">
        <v>442</v>
      </c>
      <c r="D14" s="178">
        <v>617196.13</v>
      </c>
      <c r="E14" s="178">
        <v>553663.85</v>
      </c>
      <c r="F14" s="178">
        <v>63532.280000000101</v>
      </c>
    </row>
    <row r="15" spans="1:6" x14ac:dyDescent="0.2">
      <c r="B15" s="250" t="s">
        <v>443</v>
      </c>
      <c r="D15" s="178">
        <v>225.1</v>
      </c>
      <c r="E15" s="178">
        <v>51.98</v>
      </c>
      <c r="F15" s="178">
        <v>173.12</v>
      </c>
    </row>
    <row r="16" spans="1:6" x14ac:dyDescent="0.2">
      <c r="B16" s="250" t="s">
        <v>444</v>
      </c>
      <c r="D16" s="178">
        <v>21560.87</v>
      </c>
      <c r="E16" s="178">
        <v>0.06</v>
      </c>
      <c r="F16" s="178">
        <v>21560.81</v>
      </c>
    </row>
    <row r="17" spans="1:6" x14ac:dyDescent="0.2">
      <c r="B17" s="250" t="s">
        <v>445</v>
      </c>
      <c r="D17" s="178">
        <v>217712</v>
      </c>
      <c r="E17" s="178">
        <v>240946</v>
      </c>
      <c r="F17" s="178">
        <v>-23234</v>
      </c>
    </row>
    <row r="18" spans="1:6" x14ac:dyDescent="0.2">
      <c r="B18" s="250" t="s">
        <v>446</v>
      </c>
      <c r="D18" s="178">
        <v>856694.1</v>
      </c>
      <c r="E18" s="178">
        <v>794661.89</v>
      </c>
      <c r="F18" s="178">
        <v>62032.210000000101</v>
      </c>
    </row>
    <row r="19" spans="1:6" ht="13.5" thickBot="1" x14ac:dyDescent="0.25">
      <c r="A19" s="253"/>
      <c r="B19" s="254" t="s">
        <v>447</v>
      </c>
      <c r="C19" s="193"/>
      <c r="D19" s="193"/>
      <c r="E19" s="193"/>
      <c r="F19" s="193"/>
    </row>
    <row r="20" spans="1:6" ht="13.5" thickTop="1" x14ac:dyDescent="0.2">
      <c r="A20" s="255"/>
      <c r="B20" s="256" t="s">
        <v>448</v>
      </c>
      <c r="C20" s="196"/>
      <c r="D20" s="196"/>
      <c r="E20" s="196"/>
      <c r="F20" s="196"/>
    </row>
    <row r="21" spans="1:6" x14ac:dyDescent="0.2">
      <c r="A21" s="250" t="s">
        <v>449</v>
      </c>
      <c r="B21" s="250" t="s">
        <v>450</v>
      </c>
      <c r="C21" s="178">
        <v>1110475.48</v>
      </c>
      <c r="D21" s="178">
        <v>726881.33</v>
      </c>
      <c r="E21" s="178">
        <v>725710.91</v>
      </c>
      <c r="F21" s="178">
        <v>1111645.8999999999</v>
      </c>
    </row>
    <row r="22" spans="1:6" x14ac:dyDescent="0.2">
      <c r="A22" s="250" t="s">
        <v>451</v>
      </c>
      <c r="B22" s="250" t="s">
        <v>452</v>
      </c>
      <c r="D22" s="178">
        <v>118181.79</v>
      </c>
      <c r="E22" s="178">
        <v>118181.79</v>
      </c>
    </row>
    <row r="23" spans="1:6" x14ac:dyDescent="0.2">
      <c r="A23" s="250" t="s">
        <v>453</v>
      </c>
      <c r="B23" s="250" t="s">
        <v>454</v>
      </c>
      <c r="D23" s="178">
        <v>23117.61</v>
      </c>
      <c r="E23" s="178">
        <v>23117.61</v>
      </c>
    </row>
    <row r="24" spans="1:6" x14ac:dyDescent="0.2">
      <c r="A24" s="250" t="s">
        <v>455</v>
      </c>
      <c r="B24" s="250" t="s">
        <v>456</v>
      </c>
      <c r="D24" s="178">
        <v>34046.58</v>
      </c>
      <c r="E24" s="178">
        <v>34046.58</v>
      </c>
    </row>
    <row r="25" spans="1:6" x14ac:dyDescent="0.2">
      <c r="A25" s="250" t="s">
        <v>457</v>
      </c>
      <c r="B25" s="250" t="s">
        <v>458</v>
      </c>
      <c r="C25" s="178">
        <v>-404499.06</v>
      </c>
      <c r="D25" s="178">
        <v>513522.51</v>
      </c>
      <c r="E25" s="178">
        <v>372997</v>
      </c>
      <c r="F25" s="178">
        <v>-263973.55</v>
      </c>
    </row>
    <row r="26" spans="1:6" x14ac:dyDescent="0.2">
      <c r="A26" s="250" t="s">
        <v>459</v>
      </c>
      <c r="B26" s="250" t="s">
        <v>460</v>
      </c>
      <c r="C26" s="178">
        <v>44370.87</v>
      </c>
      <c r="D26" s="178">
        <v>147500.65</v>
      </c>
      <c r="E26" s="178">
        <v>191871.52</v>
      </c>
    </row>
    <row r="27" spans="1:6" x14ac:dyDescent="0.2">
      <c r="A27" s="250" t="s">
        <v>461</v>
      </c>
      <c r="B27" s="250" t="s">
        <v>462</v>
      </c>
      <c r="D27" s="178">
        <v>580</v>
      </c>
      <c r="E27" s="178">
        <v>580</v>
      </c>
    </row>
    <row r="28" spans="1:6" x14ac:dyDescent="0.2">
      <c r="A28" s="250" t="s">
        <v>463</v>
      </c>
      <c r="B28" s="250" t="s">
        <v>464</v>
      </c>
      <c r="D28" s="178">
        <v>25861.25</v>
      </c>
      <c r="E28" s="178">
        <v>25861.25</v>
      </c>
    </row>
    <row r="29" spans="1:6" x14ac:dyDescent="0.2">
      <c r="C29" s="197" t="s">
        <v>465</v>
      </c>
      <c r="D29" s="197" t="s">
        <v>465</v>
      </c>
      <c r="E29" s="197" t="s">
        <v>465</v>
      </c>
      <c r="F29" s="197" t="s">
        <v>465</v>
      </c>
    </row>
    <row r="30" spans="1:6" x14ac:dyDescent="0.2">
      <c r="A30" s="255"/>
      <c r="B30" s="256" t="s">
        <v>466</v>
      </c>
      <c r="C30" s="196">
        <v>750347.29</v>
      </c>
      <c r="D30" s="196">
        <v>1589691.72</v>
      </c>
      <c r="E30" s="196">
        <v>1492366.66</v>
      </c>
      <c r="F30" s="196">
        <v>847672.35</v>
      </c>
    </row>
    <row r="31" spans="1:6" x14ac:dyDescent="0.2">
      <c r="A31" s="250" t="s">
        <v>467</v>
      </c>
      <c r="B31" s="250" t="s">
        <v>468</v>
      </c>
      <c r="C31" s="178">
        <v>-53430.94</v>
      </c>
      <c r="D31" s="178">
        <v>480565.3</v>
      </c>
      <c r="E31" s="178">
        <v>425738.51</v>
      </c>
      <c r="F31" s="178">
        <v>1395.8500000000099</v>
      </c>
    </row>
    <row r="32" spans="1:6" x14ac:dyDescent="0.2">
      <c r="C32" s="197" t="s">
        <v>465</v>
      </c>
      <c r="D32" s="197" t="s">
        <v>465</v>
      </c>
      <c r="E32" s="197" t="s">
        <v>465</v>
      </c>
      <c r="F32" s="197" t="s">
        <v>465</v>
      </c>
    </row>
    <row r="33" spans="1:6" x14ac:dyDescent="0.2">
      <c r="A33" s="255"/>
      <c r="B33" s="256" t="s">
        <v>469</v>
      </c>
      <c r="C33" s="196">
        <v>696916.35</v>
      </c>
      <c r="D33" s="196">
        <v>2070257.02</v>
      </c>
      <c r="E33" s="196">
        <v>1918105.17</v>
      </c>
      <c r="F33" s="196">
        <v>849068.2</v>
      </c>
    </row>
    <row r="35" spans="1:6" x14ac:dyDescent="0.2">
      <c r="C35" s="197" t="s">
        <v>465</v>
      </c>
      <c r="D35" s="197" t="s">
        <v>465</v>
      </c>
      <c r="E35" s="197" t="s">
        <v>465</v>
      </c>
      <c r="F35" s="197" t="s">
        <v>465</v>
      </c>
    </row>
    <row r="36" spans="1:6" x14ac:dyDescent="0.2">
      <c r="A36" s="255"/>
      <c r="B36" s="256" t="s">
        <v>470</v>
      </c>
      <c r="C36" s="196"/>
      <c r="D36" s="196"/>
      <c r="E36" s="196"/>
      <c r="F36" s="196"/>
    </row>
    <row r="37" spans="1:6" x14ac:dyDescent="0.2">
      <c r="A37" s="250" t="s">
        <v>471</v>
      </c>
      <c r="B37" s="250" t="s">
        <v>472</v>
      </c>
      <c r="C37" s="178">
        <v>21210.21</v>
      </c>
      <c r="D37" s="178">
        <v>300840.14</v>
      </c>
      <c r="E37" s="178">
        <v>295374.07</v>
      </c>
      <c r="F37" s="178">
        <v>26676.28</v>
      </c>
    </row>
    <row r="38" spans="1:6" x14ac:dyDescent="0.2">
      <c r="A38" s="250" t="s">
        <v>473</v>
      </c>
      <c r="B38" s="250" t="s">
        <v>474</v>
      </c>
      <c r="C38" s="178">
        <v>-2184.02</v>
      </c>
      <c r="D38" s="178">
        <v>4542.07</v>
      </c>
      <c r="E38" s="178">
        <v>3232.72</v>
      </c>
      <c r="F38" s="178">
        <v>-874.67</v>
      </c>
    </row>
    <row r="39" spans="1:6" x14ac:dyDescent="0.2">
      <c r="A39" s="257" t="s">
        <v>475</v>
      </c>
      <c r="B39" s="257" t="s">
        <v>476</v>
      </c>
      <c r="C39" s="199">
        <v>7997.08</v>
      </c>
      <c r="D39" s="199">
        <v>80231.28</v>
      </c>
      <c r="E39" s="199">
        <v>79828.36</v>
      </c>
      <c r="F39" s="199">
        <v>8400</v>
      </c>
    </row>
    <row r="40" spans="1:6" x14ac:dyDescent="0.2">
      <c r="A40" s="257" t="s">
        <v>477</v>
      </c>
      <c r="B40" s="257" t="s">
        <v>478</v>
      </c>
      <c r="C40" s="199">
        <v>6124</v>
      </c>
      <c r="D40" s="199">
        <v>6554</v>
      </c>
      <c r="E40" s="199">
        <v>5858</v>
      </c>
      <c r="F40" s="199">
        <v>6820</v>
      </c>
    </row>
    <row r="41" spans="1:6" x14ac:dyDescent="0.2">
      <c r="A41" s="250" t="s">
        <v>479</v>
      </c>
      <c r="B41" s="250" t="s">
        <v>480</v>
      </c>
      <c r="C41" s="178">
        <v>4475.8900000000003</v>
      </c>
      <c r="D41" s="178">
        <v>17096.75</v>
      </c>
      <c r="E41" s="178">
        <v>18011.14</v>
      </c>
      <c r="F41" s="178">
        <v>3561.5</v>
      </c>
    </row>
    <row r="42" spans="1:6" x14ac:dyDescent="0.2">
      <c r="C42" s="197" t="s">
        <v>465</v>
      </c>
      <c r="D42" s="197" t="s">
        <v>465</v>
      </c>
      <c r="E42" s="197" t="s">
        <v>465</v>
      </c>
      <c r="F42" s="197" t="s">
        <v>465</v>
      </c>
    </row>
    <row r="43" spans="1:6" x14ac:dyDescent="0.2">
      <c r="A43" s="255"/>
      <c r="B43" s="256" t="s">
        <v>481</v>
      </c>
      <c r="C43" s="196">
        <v>37623.160000000003</v>
      </c>
      <c r="D43" s="196">
        <v>409264.24</v>
      </c>
      <c r="E43" s="196">
        <v>402304.29</v>
      </c>
      <c r="F43" s="196">
        <v>44583.11</v>
      </c>
    </row>
    <row r="45" spans="1:6" x14ac:dyDescent="0.2">
      <c r="A45" s="255"/>
      <c r="B45" s="256" t="s">
        <v>482</v>
      </c>
      <c r="C45" s="196"/>
      <c r="D45" s="196"/>
      <c r="E45" s="196"/>
      <c r="F45" s="196"/>
    </row>
    <row r="46" spans="1:6" x14ac:dyDescent="0.2">
      <c r="A46" s="250" t="s">
        <v>483</v>
      </c>
      <c r="B46" s="250" t="s">
        <v>484</v>
      </c>
      <c r="C46" s="178">
        <v>-500.68</v>
      </c>
      <c r="E46" s="178">
        <v>529.14</v>
      </c>
      <c r="F46" s="178">
        <v>-1029.82</v>
      </c>
    </row>
    <row r="47" spans="1:6" x14ac:dyDescent="0.2">
      <c r="A47" s="250" t="s">
        <v>485</v>
      </c>
      <c r="B47" s="250" t="s">
        <v>486</v>
      </c>
      <c r="C47" s="178">
        <v>-44118.91</v>
      </c>
      <c r="F47" s="178">
        <v>-44118.91</v>
      </c>
    </row>
    <row r="48" spans="1:6" x14ac:dyDescent="0.2">
      <c r="A48" s="250" t="s">
        <v>487</v>
      </c>
      <c r="B48" s="250" t="s">
        <v>488</v>
      </c>
      <c r="C48" s="178">
        <v>-5030.17</v>
      </c>
      <c r="F48" s="178">
        <v>-5030.17</v>
      </c>
    </row>
    <row r="49" spans="1:6" x14ac:dyDescent="0.2">
      <c r="A49" s="250" t="s">
        <v>489</v>
      </c>
      <c r="B49" s="250" t="s">
        <v>490</v>
      </c>
      <c r="C49" s="178">
        <v>-375082.06</v>
      </c>
      <c r="D49" s="178">
        <v>842551.51</v>
      </c>
      <c r="E49" s="178">
        <v>943170.04</v>
      </c>
      <c r="F49" s="178">
        <v>-475700.59</v>
      </c>
    </row>
    <row r="50" spans="1:6" x14ac:dyDescent="0.2">
      <c r="A50" s="250" t="s">
        <v>491</v>
      </c>
      <c r="B50" s="250" t="s">
        <v>492</v>
      </c>
      <c r="C50" s="178">
        <v>-1095619.3400000001</v>
      </c>
      <c r="D50" s="178">
        <v>640009.12</v>
      </c>
      <c r="E50" s="178">
        <v>706985.21</v>
      </c>
      <c r="F50" s="178">
        <v>-1162595.43</v>
      </c>
    </row>
    <row r="51" spans="1:6" x14ac:dyDescent="0.2">
      <c r="A51" s="250" t="s">
        <v>493</v>
      </c>
      <c r="B51" s="250" t="s">
        <v>494</v>
      </c>
      <c r="C51" s="178">
        <v>-85054.85</v>
      </c>
      <c r="D51" s="178">
        <v>100235.29</v>
      </c>
      <c r="E51" s="178">
        <v>114875.06</v>
      </c>
      <c r="F51" s="178">
        <v>-99694.62</v>
      </c>
    </row>
    <row r="52" spans="1:6" x14ac:dyDescent="0.2">
      <c r="C52" s="197" t="s">
        <v>465</v>
      </c>
      <c r="D52" s="197" t="s">
        <v>465</v>
      </c>
      <c r="E52" s="197" t="s">
        <v>465</v>
      </c>
      <c r="F52" s="197" t="s">
        <v>465</v>
      </c>
    </row>
    <row r="53" spans="1:6" x14ac:dyDescent="0.2">
      <c r="A53" s="255"/>
      <c r="B53" s="256" t="s">
        <v>495</v>
      </c>
      <c r="C53" s="196">
        <v>-1605406.01</v>
      </c>
      <c r="D53" s="196">
        <v>1582795.92</v>
      </c>
      <c r="E53" s="196">
        <v>1765559.45</v>
      </c>
      <c r="F53" s="196">
        <v>-1788169.54</v>
      </c>
    </row>
    <row r="55" spans="1:6" x14ac:dyDescent="0.2">
      <c r="A55" s="255"/>
      <c r="B55" s="256" t="s">
        <v>496</v>
      </c>
      <c r="C55" s="196"/>
      <c r="D55" s="196"/>
      <c r="E55" s="196"/>
      <c r="F55" s="196"/>
    </row>
    <row r="56" spans="1:6" x14ac:dyDescent="0.2">
      <c r="A56" s="250" t="s">
        <v>497</v>
      </c>
      <c r="B56" s="250" t="s">
        <v>498</v>
      </c>
      <c r="C56" s="178">
        <v>14437</v>
      </c>
      <c r="F56" s="178">
        <v>14437</v>
      </c>
    </row>
    <row r="57" spans="1:6" x14ac:dyDescent="0.2">
      <c r="C57" s="197" t="s">
        <v>465</v>
      </c>
      <c r="D57" s="197" t="s">
        <v>465</v>
      </c>
      <c r="E57" s="197" t="s">
        <v>465</v>
      </c>
      <c r="F57" s="197" t="s">
        <v>465</v>
      </c>
    </row>
    <row r="58" spans="1:6" x14ac:dyDescent="0.2">
      <c r="A58" s="255"/>
      <c r="B58" s="256" t="s">
        <v>499</v>
      </c>
      <c r="C58" s="196">
        <v>14437</v>
      </c>
      <c r="D58" s="196"/>
      <c r="E58" s="196"/>
      <c r="F58" s="196">
        <v>14437</v>
      </c>
    </row>
    <row r="60" spans="1:6" x14ac:dyDescent="0.2">
      <c r="A60" s="255"/>
      <c r="B60" s="256" t="s">
        <v>500</v>
      </c>
      <c r="C60" s="196"/>
      <c r="D60" s="196"/>
      <c r="E60" s="196"/>
      <c r="F60" s="196"/>
    </row>
    <row r="61" spans="1:6" x14ac:dyDescent="0.2">
      <c r="A61" s="250" t="s">
        <v>1218</v>
      </c>
      <c r="B61" s="250" t="s">
        <v>1219</v>
      </c>
      <c r="D61" s="178">
        <v>1980.58</v>
      </c>
      <c r="E61" s="178">
        <v>1980.58</v>
      </c>
    </row>
    <row r="62" spans="1:6" x14ac:dyDescent="0.2">
      <c r="A62" s="250" t="s">
        <v>501</v>
      </c>
      <c r="B62" s="250" t="s">
        <v>502</v>
      </c>
      <c r="C62" s="178">
        <v>1181</v>
      </c>
      <c r="D62" s="178">
        <v>2809</v>
      </c>
      <c r="E62" s="178">
        <v>2793</v>
      </c>
      <c r="F62" s="178">
        <v>1197</v>
      </c>
    </row>
    <row r="63" spans="1:6" x14ac:dyDescent="0.2">
      <c r="C63" s="197" t="s">
        <v>465</v>
      </c>
      <c r="D63" s="197" t="s">
        <v>465</v>
      </c>
      <c r="E63" s="197" t="s">
        <v>465</v>
      </c>
      <c r="F63" s="197" t="s">
        <v>465</v>
      </c>
    </row>
    <row r="64" spans="1:6" x14ac:dyDescent="0.2">
      <c r="A64" s="255"/>
      <c r="B64" s="256" t="s">
        <v>503</v>
      </c>
      <c r="C64" s="196">
        <v>1181</v>
      </c>
      <c r="D64" s="196">
        <v>4789.58</v>
      </c>
      <c r="E64" s="196">
        <v>4773.58</v>
      </c>
      <c r="F64" s="196">
        <v>1197</v>
      </c>
    </row>
    <row r="66" spans="1:6" x14ac:dyDescent="0.2">
      <c r="A66" s="255"/>
      <c r="B66" s="256" t="s">
        <v>504</v>
      </c>
      <c r="C66" s="196"/>
      <c r="D66" s="196"/>
      <c r="E66" s="196"/>
      <c r="F66" s="196"/>
    </row>
    <row r="67" spans="1:6" x14ac:dyDescent="0.2">
      <c r="A67" s="250" t="s">
        <v>1220</v>
      </c>
      <c r="B67" s="250" t="s">
        <v>1221</v>
      </c>
      <c r="D67" s="178">
        <v>6191</v>
      </c>
      <c r="F67" s="178">
        <v>6191</v>
      </c>
    </row>
    <row r="68" spans="1:6" x14ac:dyDescent="0.2">
      <c r="A68" s="250" t="s">
        <v>505</v>
      </c>
      <c r="B68" s="250" t="s">
        <v>506</v>
      </c>
      <c r="D68" s="178">
        <v>99723</v>
      </c>
      <c r="E68" s="178">
        <v>99723</v>
      </c>
    </row>
    <row r="69" spans="1:6" x14ac:dyDescent="0.2">
      <c r="C69" s="197" t="s">
        <v>465</v>
      </c>
      <c r="D69" s="197" t="s">
        <v>465</v>
      </c>
      <c r="E69" s="197" t="s">
        <v>465</v>
      </c>
      <c r="F69" s="197" t="s">
        <v>465</v>
      </c>
    </row>
    <row r="70" spans="1:6" x14ac:dyDescent="0.2">
      <c r="A70" s="255"/>
      <c r="B70" s="256" t="s">
        <v>507</v>
      </c>
      <c r="C70" s="196"/>
      <c r="D70" s="196">
        <v>105914</v>
      </c>
      <c r="E70" s="196">
        <v>99723</v>
      </c>
      <c r="F70" s="196">
        <v>6191</v>
      </c>
    </row>
    <row r="72" spans="1:6" x14ac:dyDescent="0.2">
      <c r="A72" s="255"/>
      <c r="B72" s="256" t="s">
        <v>508</v>
      </c>
      <c r="C72" s="196"/>
      <c r="D72" s="196"/>
      <c r="E72" s="196"/>
      <c r="F72" s="196"/>
    </row>
    <row r="73" spans="1:6" x14ac:dyDescent="0.2">
      <c r="A73" s="250" t="s">
        <v>509</v>
      </c>
      <c r="B73" s="250" t="s">
        <v>510</v>
      </c>
      <c r="C73" s="178">
        <v>44631.76</v>
      </c>
      <c r="D73" s="178">
        <v>250687.48</v>
      </c>
      <c r="E73" s="178">
        <v>295319.24</v>
      </c>
    </row>
    <row r="74" spans="1:6" x14ac:dyDescent="0.2">
      <c r="C74" s="197" t="s">
        <v>465</v>
      </c>
      <c r="D74" s="197" t="s">
        <v>465</v>
      </c>
      <c r="E74" s="197" t="s">
        <v>465</v>
      </c>
      <c r="F74" s="197" t="s">
        <v>465</v>
      </c>
    </row>
    <row r="75" spans="1:6" x14ac:dyDescent="0.2">
      <c r="A75" s="255"/>
      <c r="B75" s="256" t="s">
        <v>511</v>
      </c>
      <c r="C75" s="196">
        <v>44631.76</v>
      </c>
      <c r="D75" s="196">
        <v>250687.48</v>
      </c>
      <c r="E75" s="196">
        <v>295319.24</v>
      </c>
      <c r="F75" s="196"/>
    </row>
    <row r="77" spans="1:6" x14ac:dyDescent="0.2">
      <c r="A77" s="255"/>
      <c r="B77" s="256" t="s">
        <v>512</v>
      </c>
      <c r="C77" s="196"/>
      <c r="D77" s="196"/>
      <c r="E77" s="196"/>
      <c r="F77" s="196"/>
    </row>
    <row r="78" spans="1:6" x14ac:dyDescent="0.2">
      <c r="A78" s="250" t="s">
        <v>513</v>
      </c>
      <c r="B78" s="250" t="s">
        <v>512</v>
      </c>
      <c r="C78" s="178">
        <v>713930.04</v>
      </c>
      <c r="F78" s="178">
        <v>713930.04</v>
      </c>
    </row>
    <row r="79" spans="1:6" x14ac:dyDescent="0.2">
      <c r="C79" s="197" t="s">
        <v>465</v>
      </c>
      <c r="D79" s="197" t="s">
        <v>465</v>
      </c>
      <c r="E79" s="197" t="s">
        <v>465</v>
      </c>
      <c r="F79" s="197" t="s">
        <v>465</v>
      </c>
    </row>
    <row r="80" spans="1:6" x14ac:dyDescent="0.2">
      <c r="A80" s="255"/>
      <c r="B80" s="256" t="s">
        <v>514</v>
      </c>
      <c r="C80" s="196">
        <v>713930.04</v>
      </c>
      <c r="D80" s="196"/>
      <c r="E80" s="196"/>
      <c r="F80" s="196">
        <v>713930.04</v>
      </c>
    </row>
    <row r="82" spans="1:6" x14ac:dyDescent="0.2">
      <c r="A82" s="255"/>
      <c r="B82" s="256" t="s">
        <v>515</v>
      </c>
      <c r="C82" s="196"/>
      <c r="D82" s="196"/>
      <c r="E82" s="196"/>
      <c r="F82" s="196"/>
    </row>
    <row r="83" spans="1:6" x14ac:dyDescent="0.2">
      <c r="A83" s="250" t="s">
        <v>516</v>
      </c>
      <c r="B83" s="250" t="s">
        <v>517</v>
      </c>
      <c r="C83" s="178">
        <v>-9257.8799999999992</v>
      </c>
      <c r="D83" s="178">
        <v>143471.9</v>
      </c>
      <c r="E83" s="178">
        <v>138253.38</v>
      </c>
      <c r="F83" s="178">
        <v>-4039.36</v>
      </c>
    </row>
    <row r="84" spans="1:6" x14ac:dyDescent="0.2">
      <c r="C84" s="197" t="s">
        <v>465</v>
      </c>
      <c r="D84" s="197" t="s">
        <v>465</v>
      </c>
      <c r="E84" s="197" t="s">
        <v>465</v>
      </c>
      <c r="F84" s="197" t="s">
        <v>465</v>
      </c>
    </row>
    <row r="85" spans="1:6" x14ac:dyDescent="0.2">
      <c r="A85" s="255"/>
      <c r="B85" s="256" t="s">
        <v>518</v>
      </c>
      <c r="C85" s="196">
        <v>-9257.8799999999992</v>
      </c>
      <c r="D85" s="196">
        <v>143471.9</v>
      </c>
      <c r="E85" s="196">
        <v>138253.38</v>
      </c>
      <c r="F85" s="196">
        <v>-4039.36</v>
      </c>
    </row>
    <row r="87" spans="1:6" x14ac:dyDescent="0.2">
      <c r="A87" s="255"/>
      <c r="B87" s="256" t="s">
        <v>519</v>
      </c>
      <c r="C87" s="196"/>
      <c r="D87" s="196"/>
      <c r="E87" s="196"/>
      <c r="F87" s="196"/>
    </row>
    <row r="88" spans="1:6" x14ac:dyDescent="0.2">
      <c r="A88" s="250" t="s">
        <v>520</v>
      </c>
      <c r="B88" s="250" t="s">
        <v>521</v>
      </c>
      <c r="C88" s="178">
        <v>-14679</v>
      </c>
      <c r="D88" s="178">
        <v>1084.22</v>
      </c>
      <c r="E88" s="178">
        <v>1554</v>
      </c>
      <c r="F88" s="178">
        <v>-15148.78</v>
      </c>
    </row>
    <row r="89" spans="1:6" x14ac:dyDescent="0.2">
      <c r="A89" s="250" t="s">
        <v>1222</v>
      </c>
      <c r="B89" s="250" t="s">
        <v>1223</v>
      </c>
      <c r="D89" s="178">
        <v>16931</v>
      </c>
      <c r="F89" s="178">
        <v>16931</v>
      </c>
    </row>
    <row r="90" spans="1:6" x14ac:dyDescent="0.2">
      <c r="C90" s="197" t="s">
        <v>465</v>
      </c>
      <c r="D90" s="197" t="s">
        <v>465</v>
      </c>
      <c r="E90" s="197" t="s">
        <v>465</v>
      </c>
      <c r="F90" s="197" t="s">
        <v>465</v>
      </c>
    </row>
    <row r="91" spans="1:6" x14ac:dyDescent="0.2">
      <c r="A91" s="255"/>
      <c r="B91" s="256" t="s">
        <v>522</v>
      </c>
      <c r="C91" s="196">
        <v>-14679</v>
      </c>
      <c r="D91" s="196">
        <v>18015.22</v>
      </c>
      <c r="E91" s="196">
        <v>1554</v>
      </c>
      <c r="F91" s="196">
        <v>1782.22</v>
      </c>
    </row>
    <row r="93" spans="1:6" x14ac:dyDescent="0.2">
      <c r="A93" s="255"/>
      <c r="B93" s="256" t="s">
        <v>523</v>
      </c>
      <c r="C93" s="196"/>
      <c r="D93" s="196"/>
      <c r="E93" s="196"/>
      <c r="F93" s="196"/>
    </row>
    <row r="94" spans="1:6" x14ac:dyDescent="0.2">
      <c r="A94" s="250" t="s">
        <v>524</v>
      </c>
      <c r="B94" s="250" t="s">
        <v>525</v>
      </c>
      <c r="C94" s="178">
        <v>-265.33999999999997</v>
      </c>
      <c r="D94" s="178">
        <v>243.86</v>
      </c>
      <c r="E94" s="178">
        <v>276.79000000000002</v>
      </c>
      <c r="F94" s="178">
        <v>-298.27</v>
      </c>
    </row>
    <row r="95" spans="1:6" x14ac:dyDescent="0.2">
      <c r="C95" s="197" t="s">
        <v>465</v>
      </c>
      <c r="D95" s="197" t="s">
        <v>465</v>
      </c>
      <c r="E95" s="197" t="s">
        <v>465</v>
      </c>
      <c r="F95" s="197" t="s">
        <v>465</v>
      </c>
    </row>
    <row r="96" spans="1:6" x14ac:dyDescent="0.2">
      <c r="A96" s="255"/>
      <c r="B96" s="256" t="s">
        <v>526</v>
      </c>
      <c r="C96" s="196">
        <v>-265.33999999999997</v>
      </c>
      <c r="D96" s="196">
        <v>243.86</v>
      </c>
      <c r="E96" s="196">
        <v>276.79000000000002</v>
      </c>
      <c r="F96" s="196">
        <v>-298.27</v>
      </c>
    </row>
    <row r="98" spans="1:6" x14ac:dyDescent="0.2">
      <c r="A98" s="255"/>
      <c r="B98" s="256" t="s">
        <v>527</v>
      </c>
      <c r="C98" s="196"/>
      <c r="D98" s="196"/>
      <c r="E98" s="196"/>
      <c r="F98" s="196"/>
    </row>
    <row r="99" spans="1:6" x14ac:dyDescent="0.2">
      <c r="A99" s="250" t="s">
        <v>528</v>
      </c>
      <c r="B99" s="250" t="s">
        <v>529</v>
      </c>
      <c r="C99" s="178">
        <v>157882.20000000001</v>
      </c>
      <c r="D99" s="178">
        <v>118200</v>
      </c>
      <c r="E99" s="178">
        <v>100488</v>
      </c>
      <c r="F99" s="178">
        <v>175594.2</v>
      </c>
    </row>
    <row r="100" spans="1:6" x14ac:dyDescent="0.2">
      <c r="A100" s="250" t="s">
        <v>530</v>
      </c>
      <c r="B100" s="250" t="s">
        <v>531</v>
      </c>
      <c r="C100" s="178">
        <v>31489</v>
      </c>
      <c r="D100" s="178">
        <v>24141</v>
      </c>
      <c r="E100" s="178">
        <v>7620</v>
      </c>
      <c r="F100" s="178">
        <v>48010</v>
      </c>
    </row>
    <row r="101" spans="1:6" x14ac:dyDescent="0.2">
      <c r="C101" s="197" t="s">
        <v>465</v>
      </c>
      <c r="D101" s="197" t="s">
        <v>465</v>
      </c>
      <c r="E101" s="197" t="s">
        <v>465</v>
      </c>
      <c r="F101" s="197" t="s">
        <v>465</v>
      </c>
    </row>
    <row r="102" spans="1:6" x14ac:dyDescent="0.2">
      <c r="A102" s="255"/>
      <c r="B102" s="256" t="s">
        <v>532</v>
      </c>
      <c r="C102" s="196">
        <v>189371.2</v>
      </c>
      <c r="D102" s="196">
        <v>142341</v>
      </c>
      <c r="E102" s="196">
        <v>108108</v>
      </c>
      <c r="F102" s="196">
        <v>223604.2</v>
      </c>
    </row>
    <row r="104" spans="1:6" x14ac:dyDescent="0.2">
      <c r="A104" s="255"/>
      <c r="B104" s="256" t="s">
        <v>533</v>
      </c>
      <c r="C104" s="196"/>
      <c r="D104" s="196"/>
      <c r="E104" s="196"/>
      <c r="F104" s="196"/>
    </row>
    <row r="105" spans="1:6" x14ac:dyDescent="0.2">
      <c r="A105" s="250" t="s">
        <v>31</v>
      </c>
      <c r="B105" s="250" t="s">
        <v>533</v>
      </c>
      <c r="D105" s="178">
        <v>105651</v>
      </c>
      <c r="E105" s="178">
        <v>105651</v>
      </c>
    </row>
    <row r="106" spans="1:6" x14ac:dyDescent="0.2">
      <c r="A106" s="250" t="s">
        <v>49</v>
      </c>
      <c r="B106" s="250" t="s">
        <v>534</v>
      </c>
      <c r="C106" s="178">
        <v>-60316</v>
      </c>
      <c r="D106" s="178">
        <v>3</v>
      </c>
      <c r="E106" s="178">
        <v>12063</v>
      </c>
      <c r="F106" s="178">
        <v>-72376</v>
      </c>
    </row>
    <row r="107" spans="1:6" x14ac:dyDescent="0.2">
      <c r="A107" s="250" t="s">
        <v>51</v>
      </c>
      <c r="B107" s="250" t="s">
        <v>535</v>
      </c>
      <c r="C107" s="178">
        <v>464</v>
      </c>
      <c r="D107" s="178">
        <v>90</v>
      </c>
      <c r="E107" s="178">
        <v>332</v>
      </c>
      <c r="F107" s="178">
        <v>222</v>
      </c>
    </row>
    <row r="108" spans="1:6" x14ac:dyDescent="0.2">
      <c r="A108" s="250" t="s">
        <v>44</v>
      </c>
      <c r="B108" s="250" t="s">
        <v>536</v>
      </c>
      <c r="D108" s="178">
        <v>2996</v>
      </c>
      <c r="E108" s="178">
        <v>601</v>
      </c>
      <c r="F108" s="178">
        <v>2395</v>
      </c>
    </row>
    <row r="109" spans="1:6" x14ac:dyDescent="0.2">
      <c r="A109" s="250" t="s">
        <v>242</v>
      </c>
      <c r="B109" s="250" t="s">
        <v>537</v>
      </c>
      <c r="C109" s="178">
        <v>2082</v>
      </c>
      <c r="E109" s="178">
        <v>1361</v>
      </c>
      <c r="F109" s="178">
        <v>721</v>
      </c>
    </row>
    <row r="110" spans="1:6" x14ac:dyDescent="0.2">
      <c r="A110" s="250" t="s">
        <v>41</v>
      </c>
      <c r="B110" s="250" t="s">
        <v>538</v>
      </c>
      <c r="C110" s="178">
        <v>-76277</v>
      </c>
      <c r="D110" s="178">
        <v>34805</v>
      </c>
      <c r="E110" s="178">
        <v>52935</v>
      </c>
      <c r="F110" s="178">
        <v>-94407</v>
      </c>
    </row>
    <row r="111" spans="1:6" x14ac:dyDescent="0.2">
      <c r="A111" s="250" t="s">
        <v>87</v>
      </c>
      <c r="B111" s="250" t="s">
        <v>539</v>
      </c>
      <c r="C111" s="178">
        <v>-300</v>
      </c>
      <c r="D111" s="178">
        <v>1</v>
      </c>
      <c r="E111" s="178">
        <v>4</v>
      </c>
      <c r="F111" s="178">
        <v>-303</v>
      </c>
    </row>
    <row r="112" spans="1:6" x14ac:dyDescent="0.2">
      <c r="A112" s="250" t="s">
        <v>50</v>
      </c>
      <c r="B112" s="250" t="s">
        <v>540</v>
      </c>
      <c r="C112" s="178">
        <v>2993</v>
      </c>
      <c r="D112" s="178">
        <v>1564</v>
      </c>
      <c r="F112" s="178">
        <v>4557</v>
      </c>
    </row>
    <row r="113" spans="1:6" x14ac:dyDescent="0.2">
      <c r="A113" s="250" t="s">
        <v>127</v>
      </c>
      <c r="B113" s="250" t="s">
        <v>541</v>
      </c>
      <c r="C113" s="178">
        <v>-91</v>
      </c>
      <c r="D113" s="178">
        <v>12</v>
      </c>
      <c r="E113" s="178">
        <v>30826</v>
      </c>
      <c r="F113" s="178">
        <v>-30905</v>
      </c>
    </row>
    <row r="114" spans="1:6" x14ac:dyDescent="0.2">
      <c r="A114" s="250" t="s">
        <v>135</v>
      </c>
      <c r="B114" s="250" t="s">
        <v>542</v>
      </c>
      <c r="D114" s="178">
        <v>1369</v>
      </c>
      <c r="F114" s="178">
        <v>1369</v>
      </c>
    </row>
    <row r="115" spans="1:6" x14ac:dyDescent="0.2">
      <c r="A115" s="250" t="s">
        <v>122</v>
      </c>
      <c r="B115" s="250" t="s">
        <v>543</v>
      </c>
      <c r="C115" s="178">
        <v>-8455</v>
      </c>
      <c r="D115" s="178">
        <v>8455</v>
      </c>
    </row>
    <row r="116" spans="1:6" x14ac:dyDescent="0.2">
      <c r="A116" s="250" t="s">
        <v>143</v>
      </c>
      <c r="B116" s="250" t="s">
        <v>544</v>
      </c>
      <c r="D116" s="178">
        <v>3063</v>
      </c>
      <c r="F116" s="178">
        <v>3063</v>
      </c>
    </row>
    <row r="117" spans="1:6" x14ac:dyDescent="0.2">
      <c r="A117" s="250" t="s">
        <v>132</v>
      </c>
      <c r="B117" s="250" t="s">
        <v>545</v>
      </c>
      <c r="C117" s="178">
        <v>24791</v>
      </c>
      <c r="D117" s="178">
        <v>1359</v>
      </c>
      <c r="E117" s="178">
        <v>1370</v>
      </c>
      <c r="F117" s="178">
        <v>24780</v>
      </c>
    </row>
    <row r="118" spans="1:6" x14ac:dyDescent="0.2">
      <c r="C118" s="197" t="s">
        <v>465</v>
      </c>
      <c r="D118" s="197" t="s">
        <v>465</v>
      </c>
      <c r="E118" s="197" t="s">
        <v>465</v>
      </c>
      <c r="F118" s="197" t="s">
        <v>465</v>
      </c>
    </row>
    <row r="119" spans="1:6" x14ac:dyDescent="0.2">
      <c r="A119" s="255"/>
      <c r="B119" s="256" t="s">
        <v>546</v>
      </c>
      <c r="C119" s="196">
        <v>-115109</v>
      </c>
      <c r="D119" s="196">
        <v>159368</v>
      </c>
      <c r="E119" s="196">
        <v>205143</v>
      </c>
      <c r="F119" s="196">
        <v>-160884</v>
      </c>
    </row>
    <row r="121" spans="1:6" x14ac:dyDescent="0.2">
      <c r="A121" s="255"/>
      <c r="B121" s="256" t="s">
        <v>547</v>
      </c>
      <c r="C121" s="196"/>
      <c r="D121" s="196"/>
      <c r="E121" s="196"/>
      <c r="F121" s="196"/>
    </row>
    <row r="122" spans="1:6" x14ac:dyDescent="0.2">
      <c r="A122" s="250" t="s">
        <v>548</v>
      </c>
      <c r="B122" s="250" t="s">
        <v>549</v>
      </c>
      <c r="C122" s="178">
        <v>-8215.49</v>
      </c>
      <c r="D122" s="178">
        <v>105606.61</v>
      </c>
      <c r="E122" s="178">
        <v>100235.29</v>
      </c>
      <c r="F122" s="178">
        <v>-2844.17</v>
      </c>
    </row>
    <row r="123" spans="1:6" x14ac:dyDescent="0.2">
      <c r="A123" s="250" t="s">
        <v>550</v>
      </c>
      <c r="B123" s="250" t="s">
        <v>551</v>
      </c>
      <c r="C123" s="178">
        <v>-13525</v>
      </c>
      <c r="D123" s="178">
        <v>15157</v>
      </c>
      <c r="E123" s="178">
        <v>1632</v>
      </c>
    </row>
    <row r="124" spans="1:6" x14ac:dyDescent="0.2">
      <c r="C124" s="197" t="s">
        <v>465</v>
      </c>
      <c r="D124" s="197" t="s">
        <v>465</v>
      </c>
      <c r="E124" s="197" t="s">
        <v>465</v>
      </c>
      <c r="F124" s="197" t="s">
        <v>465</v>
      </c>
    </row>
    <row r="125" spans="1:6" x14ac:dyDescent="0.2">
      <c r="A125" s="255"/>
      <c r="B125" s="256" t="s">
        <v>552</v>
      </c>
      <c r="C125" s="196">
        <v>-21740.49</v>
      </c>
      <c r="D125" s="196">
        <v>120763.61</v>
      </c>
      <c r="E125" s="196">
        <v>101867.29</v>
      </c>
      <c r="F125" s="196">
        <v>-2844.17</v>
      </c>
    </row>
    <row r="127" spans="1:6" x14ac:dyDescent="0.2">
      <c r="A127" s="255"/>
      <c r="B127" s="256" t="s">
        <v>553</v>
      </c>
      <c r="C127" s="196"/>
      <c r="D127" s="196"/>
      <c r="E127" s="196"/>
      <c r="F127" s="196"/>
    </row>
    <row r="128" spans="1:6" x14ac:dyDescent="0.2">
      <c r="A128" s="250" t="s">
        <v>554</v>
      </c>
      <c r="B128" s="250" t="s">
        <v>555</v>
      </c>
      <c r="E128" s="178">
        <v>3255</v>
      </c>
      <c r="F128" s="178">
        <v>-3255</v>
      </c>
    </row>
    <row r="129" spans="1:6" x14ac:dyDescent="0.2">
      <c r="C129" s="197" t="s">
        <v>465</v>
      </c>
      <c r="D129" s="197" t="s">
        <v>465</v>
      </c>
      <c r="E129" s="197" t="s">
        <v>465</v>
      </c>
      <c r="F129" s="197" t="s">
        <v>465</v>
      </c>
    </row>
    <row r="130" spans="1:6" x14ac:dyDescent="0.2">
      <c r="A130" s="255"/>
      <c r="B130" s="256" t="s">
        <v>556</v>
      </c>
      <c r="C130" s="196"/>
      <c r="D130" s="196"/>
      <c r="E130" s="196">
        <v>3255</v>
      </c>
      <c r="F130" s="196">
        <v>-3255</v>
      </c>
    </row>
    <row r="132" spans="1:6" x14ac:dyDescent="0.2">
      <c r="A132" s="255"/>
      <c r="B132" s="256" t="s">
        <v>557</v>
      </c>
      <c r="C132" s="196"/>
      <c r="D132" s="196"/>
      <c r="E132" s="196"/>
      <c r="F132" s="196"/>
    </row>
    <row r="133" spans="1:6" x14ac:dyDescent="0.2">
      <c r="A133" s="250" t="s">
        <v>558</v>
      </c>
      <c r="B133" s="250" t="s">
        <v>559</v>
      </c>
      <c r="D133" s="178">
        <v>12636.06</v>
      </c>
      <c r="E133" s="178">
        <v>12636.06</v>
      </c>
    </row>
    <row r="134" spans="1:6" x14ac:dyDescent="0.2">
      <c r="A134" s="250" t="s">
        <v>560</v>
      </c>
      <c r="B134" s="250" t="s">
        <v>561</v>
      </c>
      <c r="C134" s="178">
        <v>-1946.7</v>
      </c>
      <c r="D134" s="178">
        <v>13779.39</v>
      </c>
      <c r="E134" s="178">
        <v>13611.34</v>
      </c>
      <c r="F134" s="178">
        <v>-1778.65</v>
      </c>
    </row>
    <row r="135" spans="1:6" x14ac:dyDescent="0.2">
      <c r="A135" s="250" t="s">
        <v>562</v>
      </c>
      <c r="B135" s="250" t="s">
        <v>563</v>
      </c>
      <c r="C135" s="178">
        <v>-685.27</v>
      </c>
      <c r="D135" s="178">
        <v>1572.85</v>
      </c>
      <c r="E135" s="178">
        <v>1637.72</v>
      </c>
      <c r="F135" s="178">
        <v>-750.14</v>
      </c>
    </row>
    <row r="136" spans="1:6" x14ac:dyDescent="0.2">
      <c r="A136" s="250" t="s">
        <v>564</v>
      </c>
      <c r="B136" s="250" t="s">
        <v>565</v>
      </c>
      <c r="C136" s="178">
        <v>-501.68</v>
      </c>
      <c r="D136" s="178">
        <v>4952.12</v>
      </c>
      <c r="E136" s="178">
        <v>4972.1099999999997</v>
      </c>
      <c r="F136" s="178">
        <v>-521.66999999999996</v>
      </c>
    </row>
    <row r="137" spans="1:6" x14ac:dyDescent="0.2">
      <c r="A137" s="250" t="s">
        <v>566</v>
      </c>
      <c r="B137" s="250" t="s">
        <v>567</v>
      </c>
      <c r="C137" s="178">
        <v>-1895.28</v>
      </c>
      <c r="D137" s="178">
        <v>16059.64</v>
      </c>
      <c r="E137" s="178">
        <v>16162.91</v>
      </c>
      <c r="F137" s="178">
        <v>-1998.55</v>
      </c>
    </row>
    <row r="138" spans="1:6" x14ac:dyDescent="0.2">
      <c r="A138" s="250" t="s">
        <v>568</v>
      </c>
      <c r="B138" s="250" t="s">
        <v>569</v>
      </c>
      <c r="C138" s="178">
        <v>-16330.44</v>
      </c>
      <c r="D138" s="178">
        <v>981.43</v>
      </c>
      <c r="E138" s="178">
        <v>3021.2</v>
      </c>
      <c r="F138" s="178">
        <v>-18370.21</v>
      </c>
    </row>
    <row r="139" spans="1:6" x14ac:dyDescent="0.2">
      <c r="C139" s="197" t="s">
        <v>465</v>
      </c>
      <c r="D139" s="197" t="s">
        <v>465</v>
      </c>
      <c r="E139" s="197" t="s">
        <v>465</v>
      </c>
      <c r="F139" s="197" t="s">
        <v>465</v>
      </c>
    </row>
    <row r="140" spans="1:6" x14ac:dyDescent="0.2">
      <c r="A140" s="255"/>
      <c r="B140" s="256" t="s">
        <v>570</v>
      </c>
      <c r="C140" s="196">
        <v>-21359.37</v>
      </c>
      <c r="D140" s="196">
        <v>49981.49</v>
      </c>
      <c r="E140" s="196">
        <v>52041.34</v>
      </c>
      <c r="F140" s="196">
        <v>-23419.22</v>
      </c>
    </row>
    <row r="142" spans="1:6" x14ac:dyDescent="0.2">
      <c r="A142" s="255"/>
      <c r="B142" s="256" t="s">
        <v>571</v>
      </c>
      <c r="C142" s="196"/>
      <c r="D142" s="196"/>
      <c r="E142" s="196"/>
      <c r="F142" s="196"/>
    </row>
    <row r="143" spans="1:6" x14ac:dyDescent="0.2">
      <c r="A143" s="250" t="s">
        <v>227</v>
      </c>
      <c r="B143" s="250" t="s">
        <v>572</v>
      </c>
      <c r="C143" s="178">
        <v>-97813</v>
      </c>
      <c r="D143" s="178">
        <v>17846</v>
      </c>
      <c r="E143" s="178">
        <v>17804</v>
      </c>
      <c r="F143" s="178">
        <v>-97771</v>
      </c>
    </row>
    <row r="144" spans="1:6" x14ac:dyDescent="0.2">
      <c r="C144" s="197" t="s">
        <v>465</v>
      </c>
      <c r="D144" s="197" t="s">
        <v>465</v>
      </c>
      <c r="E144" s="197" t="s">
        <v>465</v>
      </c>
      <c r="F144" s="197" t="s">
        <v>465</v>
      </c>
    </row>
    <row r="145" spans="1:6" x14ac:dyDescent="0.2">
      <c r="A145" s="255"/>
      <c r="B145" s="256" t="s">
        <v>573</v>
      </c>
      <c r="C145" s="196">
        <v>-97813</v>
      </c>
      <c r="D145" s="196">
        <v>17846</v>
      </c>
      <c r="E145" s="196">
        <v>17804</v>
      </c>
      <c r="F145" s="196">
        <v>-97771</v>
      </c>
    </row>
    <row r="147" spans="1:6" x14ac:dyDescent="0.2">
      <c r="A147" s="255"/>
      <c r="B147" s="256" t="s">
        <v>574</v>
      </c>
      <c r="C147" s="196"/>
      <c r="D147" s="196"/>
      <c r="E147" s="196"/>
      <c r="F147" s="196"/>
    </row>
    <row r="148" spans="1:6" x14ac:dyDescent="0.2">
      <c r="A148" s="250" t="s">
        <v>575</v>
      </c>
      <c r="B148" s="250" t="s">
        <v>576</v>
      </c>
      <c r="E148" s="178">
        <v>12087</v>
      </c>
      <c r="F148" s="178">
        <v>-12087</v>
      </c>
    </row>
    <row r="149" spans="1:6" x14ac:dyDescent="0.2">
      <c r="C149" s="197" t="s">
        <v>465</v>
      </c>
      <c r="D149" s="197" t="s">
        <v>465</v>
      </c>
      <c r="E149" s="197" t="s">
        <v>465</v>
      </c>
      <c r="F149" s="197" t="s">
        <v>465</v>
      </c>
    </row>
    <row r="150" spans="1:6" x14ac:dyDescent="0.2">
      <c r="A150" s="255"/>
      <c r="B150" s="256" t="s">
        <v>577</v>
      </c>
      <c r="C150" s="196"/>
      <c r="D150" s="196"/>
      <c r="E150" s="196">
        <v>12087</v>
      </c>
      <c r="F150" s="196">
        <v>-12087</v>
      </c>
    </row>
    <row r="152" spans="1:6" x14ac:dyDescent="0.2">
      <c r="A152" s="255"/>
      <c r="B152" s="256" t="s">
        <v>578</v>
      </c>
      <c r="C152" s="196"/>
      <c r="D152" s="196"/>
      <c r="E152" s="196"/>
      <c r="F152" s="196"/>
    </row>
    <row r="153" spans="1:6" x14ac:dyDescent="0.2">
      <c r="A153" s="250" t="s">
        <v>579</v>
      </c>
      <c r="B153" s="250" t="s">
        <v>580</v>
      </c>
      <c r="D153" s="178">
        <v>2372</v>
      </c>
      <c r="E153" s="178">
        <v>8566</v>
      </c>
      <c r="F153" s="178">
        <v>-6194</v>
      </c>
    </row>
    <row r="154" spans="1:6" x14ac:dyDescent="0.2">
      <c r="A154" s="250" t="s">
        <v>581</v>
      </c>
      <c r="B154" s="250" t="s">
        <v>582</v>
      </c>
      <c r="C154" s="178">
        <v>187539.58</v>
      </c>
      <c r="D154" s="178">
        <v>856694.1</v>
      </c>
      <c r="E154" s="178">
        <v>794661.89</v>
      </c>
      <c r="F154" s="178">
        <v>249571.79</v>
      </c>
    </row>
    <row r="155" spans="1:6" x14ac:dyDescent="0.2">
      <c r="A155" s="250" t="s">
        <v>583</v>
      </c>
      <c r="B155" s="250" t="s">
        <v>584</v>
      </c>
      <c r="E155" s="178">
        <v>5403</v>
      </c>
      <c r="F155" s="178">
        <v>-5403</v>
      </c>
    </row>
    <row r="156" spans="1:6" x14ac:dyDescent="0.2">
      <c r="C156" s="197" t="s">
        <v>465</v>
      </c>
      <c r="D156" s="197" t="s">
        <v>465</v>
      </c>
      <c r="E156" s="197" t="s">
        <v>465</v>
      </c>
      <c r="F156" s="197" t="s">
        <v>465</v>
      </c>
    </row>
    <row r="157" spans="1:6" x14ac:dyDescent="0.2">
      <c r="A157" s="255"/>
      <c r="B157" s="256" t="s">
        <v>585</v>
      </c>
      <c r="C157" s="196">
        <v>187539.58</v>
      </c>
      <c r="D157" s="196">
        <v>859066.1</v>
      </c>
      <c r="E157" s="196">
        <v>808630.89</v>
      </c>
      <c r="F157" s="196">
        <v>237974.79</v>
      </c>
    </row>
    <row r="159" spans="1:6" x14ac:dyDescent="0.2">
      <c r="A159" s="258"/>
      <c r="B159" s="257" t="s">
        <v>438</v>
      </c>
      <c r="C159" s="199">
        <v>187539.58</v>
      </c>
      <c r="D159" s="199">
        <v>859066.1</v>
      </c>
      <c r="E159" s="199">
        <v>808630.89</v>
      </c>
      <c r="F159" s="199">
        <v>237974.79</v>
      </c>
    </row>
    <row r="160" spans="1:6" ht="13.5" thickBot="1" x14ac:dyDescent="0.25">
      <c r="A160" s="259"/>
      <c r="B160" s="259"/>
      <c r="C160" s="202"/>
      <c r="D160" s="202"/>
      <c r="E160" s="202"/>
      <c r="F160" s="202"/>
    </row>
    <row r="161" spans="1:6" ht="13.5" thickTop="1" x14ac:dyDescent="0.2">
      <c r="A161" s="255"/>
      <c r="B161" s="256" t="s">
        <v>586</v>
      </c>
      <c r="C161" s="196"/>
      <c r="D161" s="196"/>
      <c r="E161" s="196"/>
      <c r="F161" s="196"/>
    </row>
    <row r="162" spans="1:6" x14ac:dyDescent="0.2">
      <c r="A162" s="248"/>
      <c r="B162" s="249" t="s">
        <v>587</v>
      </c>
      <c r="C162" s="185"/>
      <c r="D162" s="185"/>
      <c r="E162" s="185"/>
      <c r="F162" s="185"/>
    </row>
    <row r="163" spans="1:6" x14ac:dyDescent="0.2">
      <c r="A163" s="250" t="s">
        <v>588</v>
      </c>
      <c r="B163" s="250" t="s">
        <v>1224</v>
      </c>
      <c r="D163" s="178">
        <v>105581</v>
      </c>
      <c r="E163" s="178">
        <v>107182.31</v>
      </c>
      <c r="F163" s="178">
        <v>-1601.31</v>
      </c>
    </row>
    <row r="164" spans="1:6" x14ac:dyDescent="0.2">
      <c r="A164" s="250" t="s">
        <v>590</v>
      </c>
      <c r="B164" s="250" t="s">
        <v>1225</v>
      </c>
      <c r="E164" s="178">
        <v>382.77</v>
      </c>
      <c r="F164" s="178">
        <v>-382.77</v>
      </c>
    </row>
    <row r="165" spans="1:6" x14ac:dyDescent="0.2">
      <c r="A165" s="250" t="s">
        <v>592</v>
      </c>
      <c r="B165" s="250" t="s">
        <v>1226</v>
      </c>
      <c r="D165" s="178">
        <v>1387.29</v>
      </c>
      <c r="E165" s="178">
        <v>185386.96</v>
      </c>
      <c r="F165" s="178">
        <v>-183999.67</v>
      </c>
    </row>
    <row r="166" spans="1:6" x14ac:dyDescent="0.2">
      <c r="A166" s="250" t="s">
        <v>594</v>
      </c>
      <c r="B166" s="250" t="s">
        <v>626</v>
      </c>
      <c r="E166" s="178">
        <v>13596.5</v>
      </c>
      <c r="F166" s="178">
        <v>-13596.5</v>
      </c>
    </row>
    <row r="167" spans="1:6" x14ac:dyDescent="0.2">
      <c r="A167" s="250" t="s">
        <v>595</v>
      </c>
      <c r="B167" s="250" t="s">
        <v>1227</v>
      </c>
      <c r="E167" s="178">
        <v>4972.1099999999997</v>
      </c>
      <c r="F167" s="178">
        <v>-4972.1099999999997</v>
      </c>
    </row>
    <row r="168" spans="1:6" x14ac:dyDescent="0.2">
      <c r="C168" s="197" t="s">
        <v>465</v>
      </c>
      <c r="D168" s="197" t="s">
        <v>465</v>
      </c>
      <c r="E168" s="197" t="s">
        <v>465</v>
      </c>
      <c r="F168" s="197" t="s">
        <v>465</v>
      </c>
    </row>
    <row r="169" spans="1:6" x14ac:dyDescent="0.2">
      <c r="A169" s="248"/>
      <c r="B169" s="249" t="s">
        <v>597</v>
      </c>
      <c r="C169" s="185"/>
      <c r="D169" s="185">
        <v>106968.29</v>
      </c>
      <c r="E169" s="185">
        <v>311520.65000000002</v>
      </c>
      <c r="F169" s="185">
        <v>-204552.36</v>
      </c>
    </row>
    <row r="171" spans="1:6" x14ac:dyDescent="0.2">
      <c r="A171" s="248"/>
      <c r="B171" s="249" t="s">
        <v>598</v>
      </c>
      <c r="C171" s="185"/>
      <c r="D171" s="185"/>
      <c r="E171" s="185"/>
      <c r="F171" s="185"/>
    </row>
    <row r="172" spans="1:6" x14ac:dyDescent="0.2">
      <c r="C172" s="197" t="s">
        <v>465</v>
      </c>
      <c r="D172" s="197" t="s">
        <v>465</v>
      </c>
      <c r="E172" s="197" t="s">
        <v>465</v>
      </c>
      <c r="F172" s="197" t="s">
        <v>465</v>
      </c>
    </row>
    <row r="173" spans="1:6" x14ac:dyDescent="0.2">
      <c r="A173" s="248"/>
      <c r="B173" s="249" t="s">
        <v>599</v>
      </c>
      <c r="C173" s="185"/>
      <c r="D173" s="185">
        <v>106968.29</v>
      </c>
      <c r="E173" s="185">
        <v>311520.65000000002</v>
      </c>
      <c r="F173" s="185">
        <v>-204552.36</v>
      </c>
    </row>
    <row r="176" spans="1:6" x14ac:dyDescent="0.2">
      <c r="A176" s="248"/>
      <c r="B176" s="249" t="s">
        <v>600</v>
      </c>
      <c r="C176" s="185"/>
      <c r="D176" s="185"/>
      <c r="E176" s="185"/>
      <c r="F176" s="185"/>
    </row>
    <row r="177" spans="1:6" x14ac:dyDescent="0.2">
      <c r="A177" s="250" t="s">
        <v>601</v>
      </c>
      <c r="B177" s="250" t="s">
        <v>602</v>
      </c>
      <c r="D177" s="178">
        <v>79828.36</v>
      </c>
      <c r="E177" s="178">
        <v>80231.28</v>
      </c>
      <c r="F177" s="178">
        <v>-402.92</v>
      </c>
    </row>
    <row r="178" spans="1:6" x14ac:dyDescent="0.2">
      <c r="A178" s="250" t="s">
        <v>603</v>
      </c>
      <c r="B178" s="250" t="s">
        <v>604</v>
      </c>
      <c r="E178" s="178">
        <v>8794.69</v>
      </c>
      <c r="F178" s="178">
        <v>-8794.69</v>
      </c>
    </row>
    <row r="179" spans="1:6" x14ac:dyDescent="0.2">
      <c r="A179" s="250" t="s">
        <v>605</v>
      </c>
      <c r="B179" s="250" t="s">
        <v>606</v>
      </c>
      <c r="E179" s="178">
        <v>7620.57</v>
      </c>
      <c r="F179" s="178">
        <v>-7620.57</v>
      </c>
    </row>
    <row r="180" spans="1:6" x14ac:dyDescent="0.2">
      <c r="A180" s="250" t="s">
        <v>607</v>
      </c>
      <c r="B180" s="250" t="s">
        <v>608</v>
      </c>
      <c r="D180" s="178">
        <v>160.41</v>
      </c>
      <c r="E180" s="178">
        <v>22.62</v>
      </c>
      <c r="F180" s="178">
        <v>137.79</v>
      </c>
    </row>
    <row r="181" spans="1:6" x14ac:dyDescent="0.2">
      <c r="A181" s="250" t="s">
        <v>609</v>
      </c>
      <c r="B181" s="250" t="s">
        <v>610</v>
      </c>
      <c r="E181" s="178">
        <v>1900</v>
      </c>
      <c r="F181" s="178">
        <v>-1900</v>
      </c>
    </row>
    <row r="182" spans="1:6" x14ac:dyDescent="0.2">
      <c r="A182" s="250" t="s">
        <v>611</v>
      </c>
      <c r="B182" s="250" t="s">
        <v>612</v>
      </c>
      <c r="E182" s="178">
        <v>345</v>
      </c>
      <c r="F182" s="178">
        <v>-345</v>
      </c>
    </row>
    <row r="183" spans="1:6" x14ac:dyDescent="0.2">
      <c r="A183" s="250" t="s">
        <v>613</v>
      </c>
      <c r="B183" s="250" t="s">
        <v>614</v>
      </c>
      <c r="E183" s="178">
        <v>375</v>
      </c>
      <c r="F183" s="178">
        <v>-375</v>
      </c>
    </row>
    <row r="184" spans="1:6" x14ac:dyDescent="0.2">
      <c r="A184" s="250" t="s">
        <v>615</v>
      </c>
      <c r="B184" s="250" t="s">
        <v>616</v>
      </c>
      <c r="E184" s="178">
        <v>1672</v>
      </c>
      <c r="F184" s="178">
        <v>-1672</v>
      </c>
    </row>
    <row r="185" spans="1:6" x14ac:dyDescent="0.2">
      <c r="A185" s="250" t="s">
        <v>617</v>
      </c>
      <c r="B185" s="250" t="s">
        <v>618</v>
      </c>
      <c r="E185" s="178">
        <v>4003</v>
      </c>
      <c r="F185" s="178">
        <v>-4003</v>
      </c>
    </row>
    <row r="186" spans="1:6" x14ac:dyDescent="0.2">
      <c r="C186" s="197" t="s">
        <v>465</v>
      </c>
      <c r="D186" s="197" t="s">
        <v>465</v>
      </c>
      <c r="E186" s="197" t="s">
        <v>465</v>
      </c>
      <c r="F186" s="197" t="s">
        <v>465</v>
      </c>
    </row>
    <row r="187" spans="1:6" x14ac:dyDescent="0.2">
      <c r="A187" s="248"/>
      <c r="B187" s="249" t="s">
        <v>619</v>
      </c>
      <c r="C187" s="185"/>
      <c r="D187" s="185">
        <v>79988.77</v>
      </c>
      <c r="E187" s="185">
        <v>104964.16</v>
      </c>
      <c r="F187" s="185">
        <v>-24975.39</v>
      </c>
    </row>
    <row r="189" spans="1:6" x14ac:dyDescent="0.2">
      <c r="A189" s="255"/>
      <c r="B189" s="256" t="s">
        <v>620</v>
      </c>
      <c r="C189" s="196"/>
      <c r="D189" s="196">
        <v>186957.06</v>
      </c>
      <c r="E189" s="196">
        <v>416484.81</v>
      </c>
      <c r="F189" s="196">
        <v>-229527.75</v>
      </c>
    </row>
    <row r="191" spans="1:6" x14ac:dyDescent="0.2">
      <c r="A191" s="255"/>
      <c r="B191" s="256" t="s">
        <v>621</v>
      </c>
      <c r="C191" s="196"/>
      <c r="D191" s="196"/>
      <c r="E191" s="196"/>
      <c r="F191" s="196"/>
    </row>
    <row r="192" spans="1:6" x14ac:dyDescent="0.2">
      <c r="A192" s="248"/>
      <c r="B192" s="249" t="s">
        <v>622</v>
      </c>
      <c r="C192" s="185"/>
      <c r="D192" s="185"/>
      <c r="E192" s="185"/>
      <c r="F192" s="185"/>
    </row>
    <row r="193" spans="1:6" x14ac:dyDescent="0.2">
      <c r="A193" s="250" t="s">
        <v>623</v>
      </c>
      <c r="B193" s="250" t="s">
        <v>624</v>
      </c>
      <c r="D193" s="178">
        <v>377.8</v>
      </c>
      <c r="F193" s="178">
        <v>377.8</v>
      </c>
    </row>
    <row r="194" spans="1:6" x14ac:dyDescent="0.2">
      <c r="A194" s="250" t="s">
        <v>625</v>
      </c>
      <c r="B194" s="250" t="s">
        <v>626</v>
      </c>
      <c r="D194" s="178">
        <v>13596.5</v>
      </c>
      <c r="F194" s="178">
        <v>13596.5</v>
      </c>
    </row>
    <row r="195" spans="1:6" x14ac:dyDescent="0.2">
      <c r="A195" s="250" t="s">
        <v>627</v>
      </c>
      <c r="B195" s="250" t="s">
        <v>628</v>
      </c>
      <c r="D195" s="178">
        <v>4972.1099999999997</v>
      </c>
      <c r="F195" s="178">
        <v>4972.1099999999997</v>
      </c>
    </row>
    <row r="196" spans="1:6" x14ac:dyDescent="0.2">
      <c r="A196" s="250" t="s">
        <v>629</v>
      </c>
      <c r="B196" s="250" t="s">
        <v>630</v>
      </c>
      <c r="D196" s="178">
        <v>1637.72</v>
      </c>
      <c r="E196" s="178">
        <v>185.4</v>
      </c>
      <c r="F196" s="178">
        <v>1452.32</v>
      </c>
    </row>
    <row r="197" spans="1:6" x14ac:dyDescent="0.2">
      <c r="C197" s="197" t="s">
        <v>465</v>
      </c>
      <c r="D197" s="197" t="s">
        <v>465</v>
      </c>
      <c r="E197" s="197" t="s">
        <v>465</v>
      </c>
      <c r="F197" s="197" t="s">
        <v>465</v>
      </c>
    </row>
    <row r="198" spans="1:6" x14ac:dyDescent="0.2">
      <c r="A198" s="248"/>
      <c r="B198" s="249" t="s">
        <v>631</v>
      </c>
      <c r="C198" s="185"/>
      <c r="D198" s="185">
        <v>20584.13</v>
      </c>
      <c r="E198" s="185">
        <v>185.4</v>
      </c>
      <c r="F198" s="185">
        <v>20398.73</v>
      </c>
    </row>
    <row r="200" spans="1:6" x14ac:dyDescent="0.2">
      <c r="A200" s="248"/>
      <c r="B200" s="249" t="s">
        <v>632</v>
      </c>
      <c r="C200" s="185"/>
      <c r="D200" s="185"/>
      <c r="E200" s="185"/>
      <c r="F200" s="185"/>
    </row>
    <row r="201" spans="1:6" x14ac:dyDescent="0.2">
      <c r="A201" s="250" t="s">
        <v>633</v>
      </c>
      <c r="B201" s="250" t="s">
        <v>634</v>
      </c>
      <c r="D201" s="178">
        <v>8750.68</v>
      </c>
      <c r="F201" s="178">
        <v>8750.68</v>
      </c>
    </row>
    <row r="202" spans="1:6" x14ac:dyDescent="0.2">
      <c r="C202" s="197" t="s">
        <v>465</v>
      </c>
      <c r="D202" s="197" t="s">
        <v>465</v>
      </c>
      <c r="E202" s="197" t="s">
        <v>465</v>
      </c>
      <c r="F202" s="197" t="s">
        <v>465</v>
      </c>
    </row>
    <row r="203" spans="1:6" x14ac:dyDescent="0.2">
      <c r="A203" s="248"/>
      <c r="B203" s="249" t="s">
        <v>635</v>
      </c>
      <c r="C203" s="185"/>
      <c r="D203" s="185">
        <v>8750.68</v>
      </c>
      <c r="E203" s="185"/>
      <c r="F203" s="185">
        <v>8750.68</v>
      </c>
    </row>
    <row r="205" spans="1:6" x14ac:dyDescent="0.2">
      <c r="A205" s="255"/>
      <c r="B205" s="256" t="s">
        <v>636</v>
      </c>
      <c r="C205" s="196"/>
      <c r="D205" s="196">
        <v>29334.81</v>
      </c>
      <c r="E205" s="196">
        <v>185.4</v>
      </c>
      <c r="F205" s="196">
        <v>29149.41</v>
      </c>
    </row>
    <row r="206" spans="1:6" x14ac:dyDescent="0.2">
      <c r="A206" s="258"/>
      <c r="B206" s="257" t="s">
        <v>441</v>
      </c>
      <c r="C206" s="199"/>
      <c r="D206" s="199">
        <v>216291.87</v>
      </c>
      <c r="E206" s="199">
        <v>416670.21</v>
      </c>
      <c r="F206" s="199">
        <v>-200378.34</v>
      </c>
    </row>
    <row r="208" spans="1:6" x14ac:dyDescent="0.2">
      <c r="A208" s="255"/>
      <c r="B208" s="256" t="s">
        <v>637</v>
      </c>
      <c r="C208" s="196"/>
      <c r="D208" s="196"/>
      <c r="E208" s="196"/>
      <c r="F208" s="196"/>
    </row>
    <row r="209" spans="1:6" x14ac:dyDescent="0.2">
      <c r="A209" s="250" t="s">
        <v>638</v>
      </c>
      <c r="B209" s="250" t="s">
        <v>639</v>
      </c>
      <c r="D209" s="178">
        <v>24395.16</v>
      </c>
      <c r="E209" s="178">
        <v>2519.08</v>
      </c>
      <c r="F209" s="178">
        <v>21876.080000000002</v>
      </c>
    </row>
    <row r="210" spans="1:6" x14ac:dyDescent="0.2">
      <c r="A210" s="250" t="s">
        <v>640</v>
      </c>
      <c r="B210" s="250" t="s">
        <v>641</v>
      </c>
      <c r="D210" s="178">
        <v>61363.86</v>
      </c>
      <c r="E210" s="178">
        <v>15940.69</v>
      </c>
      <c r="F210" s="178">
        <v>45423.17</v>
      </c>
    </row>
    <row r="211" spans="1:6" x14ac:dyDescent="0.2">
      <c r="A211" s="250" t="s">
        <v>642</v>
      </c>
      <c r="B211" s="250" t="s">
        <v>643</v>
      </c>
      <c r="D211" s="178">
        <v>1309.17</v>
      </c>
      <c r="E211" s="178">
        <v>252</v>
      </c>
      <c r="F211" s="178">
        <v>1057.17</v>
      </c>
    </row>
    <row r="212" spans="1:6" x14ac:dyDescent="0.2">
      <c r="A212" s="250" t="s">
        <v>644</v>
      </c>
      <c r="B212" s="250" t="s">
        <v>645</v>
      </c>
      <c r="D212" s="178">
        <v>1480</v>
      </c>
      <c r="F212" s="178">
        <v>1480</v>
      </c>
    </row>
    <row r="213" spans="1:6" x14ac:dyDescent="0.2">
      <c r="A213" s="250" t="s">
        <v>646</v>
      </c>
      <c r="B213" s="250" t="s">
        <v>647</v>
      </c>
      <c r="D213" s="178">
        <v>6991.83</v>
      </c>
      <c r="E213" s="178">
        <v>3526.08</v>
      </c>
      <c r="F213" s="178">
        <v>3465.75</v>
      </c>
    </row>
    <row r="214" spans="1:6" x14ac:dyDescent="0.2">
      <c r="A214" s="250" t="s">
        <v>648</v>
      </c>
      <c r="B214" s="250" t="s">
        <v>649</v>
      </c>
      <c r="D214" s="178">
        <v>954.56</v>
      </c>
      <c r="E214" s="178">
        <v>184.99</v>
      </c>
      <c r="F214" s="178">
        <v>769.57</v>
      </c>
    </row>
    <row r="215" spans="1:6" x14ac:dyDescent="0.2">
      <c r="A215" s="250" t="s">
        <v>650</v>
      </c>
      <c r="B215" s="250" t="s">
        <v>651</v>
      </c>
      <c r="D215" s="178">
        <v>1038.2</v>
      </c>
      <c r="E215" s="178">
        <v>475.32</v>
      </c>
      <c r="F215" s="178">
        <v>562.88</v>
      </c>
    </row>
    <row r="216" spans="1:6" x14ac:dyDescent="0.2">
      <c r="A216" s="250" t="s">
        <v>652</v>
      </c>
      <c r="B216" s="250" t="s">
        <v>653</v>
      </c>
      <c r="D216" s="178">
        <v>1102.33</v>
      </c>
      <c r="E216" s="178">
        <v>570.03</v>
      </c>
      <c r="F216" s="178">
        <v>532.29999999999995</v>
      </c>
    </row>
    <row r="217" spans="1:6" x14ac:dyDescent="0.2">
      <c r="A217" s="250" t="s">
        <v>1228</v>
      </c>
      <c r="B217" s="250" t="s">
        <v>1229</v>
      </c>
      <c r="D217" s="178">
        <v>40</v>
      </c>
      <c r="F217" s="178">
        <v>40</v>
      </c>
    </row>
    <row r="218" spans="1:6" x14ac:dyDescent="0.2">
      <c r="A218" s="250" t="s">
        <v>1230</v>
      </c>
      <c r="B218" s="250" t="s">
        <v>1231</v>
      </c>
      <c r="D218" s="178">
        <v>15</v>
      </c>
      <c r="F218" s="178">
        <v>15</v>
      </c>
    </row>
    <row r="219" spans="1:6" x14ac:dyDescent="0.2">
      <c r="A219" s="250" t="s">
        <v>654</v>
      </c>
      <c r="B219" s="250" t="s">
        <v>655</v>
      </c>
      <c r="D219" s="178">
        <v>437</v>
      </c>
      <c r="E219" s="178">
        <v>37.21</v>
      </c>
      <c r="F219" s="178">
        <v>399.79</v>
      </c>
    </row>
    <row r="220" spans="1:6" x14ac:dyDescent="0.2">
      <c r="C220" s="197" t="s">
        <v>465</v>
      </c>
      <c r="D220" s="197" t="s">
        <v>465</v>
      </c>
      <c r="E220" s="197" t="s">
        <v>465</v>
      </c>
      <c r="F220" s="197" t="s">
        <v>465</v>
      </c>
    </row>
    <row r="221" spans="1:6" x14ac:dyDescent="0.2">
      <c r="A221" s="255"/>
      <c r="B221" s="256" t="s">
        <v>656</v>
      </c>
      <c r="C221" s="196"/>
      <c r="D221" s="196">
        <v>99127.11</v>
      </c>
      <c r="E221" s="196">
        <v>23505.4</v>
      </c>
      <c r="F221" s="196">
        <v>75621.710000000006</v>
      </c>
    </row>
    <row r="223" spans="1:6" x14ac:dyDescent="0.2">
      <c r="A223" s="255"/>
      <c r="B223" s="256" t="s">
        <v>657</v>
      </c>
      <c r="C223" s="196"/>
      <c r="D223" s="196"/>
      <c r="E223" s="196"/>
      <c r="F223" s="196"/>
    </row>
    <row r="224" spans="1:6" x14ac:dyDescent="0.2">
      <c r="A224" s="250" t="s">
        <v>658</v>
      </c>
      <c r="B224" s="250" t="s">
        <v>659</v>
      </c>
      <c r="D224" s="178">
        <v>2864.59</v>
      </c>
      <c r="E224" s="178">
        <v>342.73</v>
      </c>
      <c r="F224" s="178">
        <v>2521.86</v>
      </c>
    </row>
    <row r="225" spans="1:6" x14ac:dyDescent="0.2">
      <c r="A225" s="250" t="s">
        <v>660</v>
      </c>
      <c r="B225" s="250" t="s">
        <v>661</v>
      </c>
      <c r="D225" s="178">
        <v>3527.14</v>
      </c>
      <c r="E225" s="178">
        <v>297.29000000000002</v>
      </c>
      <c r="F225" s="178">
        <v>3229.85</v>
      </c>
    </row>
    <row r="226" spans="1:6" x14ac:dyDescent="0.2">
      <c r="A226" s="250" t="s">
        <v>662</v>
      </c>
      <c r="B226" s="250" t="s">
        <v>663</v>
      </c>
      <c r="D226" s="178">
        <v>1231.46</v>
      </c>
      <c r="E226" s="178">
        <v>76.44</v>
      </c>
      <c r="F226" s="178">
        <v>1155.02</v>
      </c>
    </row>
    <row r="227" spans="1:6" x14ac:dyDescent="0.2">
      <c r="A227" s="250" t="s">
        <v>664</v>
      </c>
      <c r="B227" s="250" t="s">
        <v>665</v>
      </c>
      <c r="D227" s="178">
        <v>1229.6099999999999</v>
      </c>
      <c r="E227" s="178">
        <v>101.47</v>
      </c>
      <c r="F227" s="178">
        <v>1128.1400000000001</v>
      </c>
    </row>
    <row r="228" spans="1:6" x14ac:dyDescent="0.2">
      <c r="A228" s="250" t="s">
        <v>666</v>
      </c>
      <c r="B228" s="250" t="s">
        <v>667</v>
      </c>
      <c r="D228" s="178">
        <v>712.36</v>
      </c>
      <c r="E228" s="178">
        <v>81.09</v>
      </c>
      <c r="F228" s="178">
        <v>631.27</v>
      </c>
    </row>
    <row r="229" spans="1:6" x14ac:dyDescent="0.2">
      <c r="A229" s="250" t="s">
        <v>668</v>
      </c>
      <c r="B229" s="250" t="s">
        <v>669</v>
      </c>
      <c r="D229" s="178">
        <v>133.11000000000001</v>
      </c>
      <c r="E229" s="178">
        <v>22.78</v>
      </c>
      <c r="F229" s="178">
        <v>110.33</v>
      </c>
    </row>
    <row r="230" spans="1:6" x14ac:dyDescent="0.2">
      <c r="A230" s="250" t="s">
        <v>670</v>
      </c>
      <c r="B230" s="250" t="s">
        <v>671</v>
      </c>
      <c r="D230" s="178">
        <v>429.1</v>
      </c>
      <c r="E230" s="178">
        <v>38.33</v>
      </c>
      <c r="F230" s="178">
        <v>390.77</v>
      </c>
    </row>
    <row r="231" spans="1:6" x14ac:dyDescent="0.2">
      <c r="A231" s="250" t="s">
        <v>672</v>
      </c>
      <c r="B231" s="250" t="s">
        <v>673</v>
      </c>
      <c r="D231" s="178">
        <v>871.35</v>
      </c>
      <c r="E231" s="178">
        <v>135.19999999999999</v>
      </c>
      <c r="F231" s="178">
        <v>736.15</v>
      </c>
    </row>
    <row r="232" spans="1:6" x14ac:dyDescent="0.2">
      <c r="C232" s="197" t="s">
        <v>465</v>
      </c>
      <c r="D232" s="197" t="s">
        <v>465</v>
      </c>
      <c r="E232" s="197" t="s">
        <v>465</v>
      </c>
      <c r="F232" s="197" t="s">
        <v>465</v>
      </c>
    </row>
    <row r="233" spans="1:6" x14ac:dyDescent="0.2">
      <c r="A233" s="255"/>
      <c r="B233" s="256" t="s">
        <v>674</v>
      </c>
      <c r="C233" s="196"/>
      <c r="D233" s="196">
        <v>10998.72</v>
      </c>
      <c r="E233" s="196">
        <v>1095.33</v>
      </c>
      <c r="F233" s="196">
        <v>9903.39</v>
      </c>
    </row>
    <row r="235" spans="1:6" x14ac:dyDescent="0.2">
      <c r="A235" s="255"/>
      <c r="B235" s="256" t="s">
        <v>675</v>
      </c>
      <c r="C235" s="196"/>
      <c r="D235" s="196"/>
      <c r="E235" s="196"/>
      <c r="F235" s="196"/>
    </row>
    <row r="236" spans="1:6" x14ac:dyDescent="0.2">
      <c r="A236" s="250" t="s">
        <v>676</v>
      </c>
      <c r="B236" s="250" t="s">
        <v>675</v>
      </c>
      <c r="D236" s="178">
        <v>275.14999999999998</v>
      </c>
      <c r="E236" s="178">
        <v>27.85</v>
      </c>
      <c r="F236" s="178">
        <v>247.3</v>
      </c>
    </row>
    <row r="237" spans="1:6" x14ac:dyDescent="0.2">
      <c r="A237" s="250" t="s">
        <v>677</v>
      </c>
      <c r="B237" s="250" t="s">
        <v>678</v>
      </c>
      <c r="D237" s="178">
        <v>541.34</v>
      </c>
      <c r="E237" s="178">
        <v>50.62</v>
      </c>
      <c r="F237" s="178">
        <v>490.72</v>
      </c>
    </row>
    <row r="238" spans="1:6" x14ac:dyDescent="0.2">
      <c r="A238" s="250" t="s">
        <v>679</v>
      </c>
      <c r="B238" s="250" t="s">
        <v>680</v>
      </c>
      <c r="D238" s="178">
        <v>763.73</v>
      </c>
      <c r="E238" s="178">
        <v>240.59</v>
      </c>
      <c r="F238" s="178">
        <v>523.14</v>
      </c>
    </row>
    <row r="239" spans="1:6" x14ac:dyDescent="0.2">
      <c r="A239" s="250" t="s">
        <v>681</v>
      </c>
      <c r="B239" s="250" t="s">
        <v>682</v>
      </c>
      <c r="D239" s="178">
        <v>171.32</v>
      </c>
      <c r="E239" s="178">
        <v>18.940000000000001</v>
      </c>
      <c r="F239" s="178">
        <v>152.38</v>
      </c>
    </row>
    <row r="240" spans="1:6" x14ac:dyDescent="0.2">
      <c r="A240" s="250" t="s">
        <v>683</v>
      </c>
      <c r="B240" s="250" t="s">
        <v>684</v>
      </c>
      <c r="D240" s="178">
        <v>609.22</v>
      </c>
      <c r="E240" s="178">
        <v>100.98</v>
      </c>
      <c r="F240" s="178">
        <v>508.24</v>
      </c>
    </row>
    <row r="241" spans="1:6" x14ac:dyDescent="0.2">
      <c r="C241" s="197" t="s">
        <v>465</v>
      </c>
      <c r="D241" s="197" t="s">
        <v>465</v>
      </c>
      <c r="E241" s="197" t="s">
        <v>465</v>
      </c>
      <c r="F241" s="197" t="s">
        <v>465</v>
      </c>
    </row>
    <row r="242" spans="1:6" x14ac:dyDescent="0.2">
      <c r="A242" s="255"/>
      <c r="B242" s="256" t="s">
        <v>685</v>
      </c>
      <c r="C242" s="196"/>
      <c r="D242" s="196">
        <v>2360.7600000000002</v>
      </c>
      <c r="E242" s="196">
        <v>438.98</v>
      </c>
      <c r="F242" s="196">
        <v>1921.78</v>
      </c>
    </row>
    <row r="244" spans="1:6" x14ac:dyDescent="0.2">
      <c r="A244" s="255"/>
      <c r="B244" s="256" t="s">
        <v>686</v>
      </c>
      <c r="C244" s="196"/>
      <c r="D244" s="196"/>
      <c r="E244" s="196"/>
      <c r="F244" s="196"/>
    </row>
    <row r="245" spans="1:6" x14ac:dyDescent="0.2">
      <c r="A245" s="250" t="s">
        <v>687</v>
      </c>
      <c r="B245" s="250" t="s">
        <v>688</v>
      </c>
      <c r="D245" s="178">
        <v>1495.95</v>
      </c>
      <c r="E245" s="178">
        <v>130.59</v>
      </c>
      <c r="F245" s="178">
        <v>1365.36</v>
      </c>
    </row>
    <row r="246" spans="1:6" x14ac:dyDescent="0.2">
      <c r="A246" s="250" t="s">
        <v>689</v>
      </c>
      <c r="B246" s="250" t="s">
        <v>690</v>
      </c>
      <c r="D246" s="178">
        <v>253.5</v>
      </c>
      <c r="E246" s="178">
        <v>57.71</v>
      </c>
      <c r="F246" s="178">
        <v>195.79</v>
      </c>
    </row>
    <row r="247" spans="1:6" x14ac:dyDescent="0.2">
      <c r="A247" s="250" t="s">
        <v>691</v>
      </c>
      <c r="B247" s="250" t="s">
        <v>692</v>
      </c>
      <c r="D247" s="178">
        <v>9676.64</v>
      </c>
      <c r="E247" s="178">
        <v>2486.89</v>
      </c>
      <c r="F247" s="178">
        <v>7189.75</v>
      </c>
    </row>
    <row r="248" spans="1:6" x14ac:dyDescent="0.2">
      <c r="A248" s="250" t="s">
        <v>693</v>
      </c>
      <c r="B248" s="250" t="s">
        <v>694</v>
      </c>
      <c r="D248" s="178">
        <v>765.84</v>
      </c>
      <c r="E248" s="178">
        <v>2999.35</v>
      </c>
      <c r="F248" s="178">
        <v>-2233.5100000000002</v>
      </c>
    </row>
    <row r="249" spans="1:6" x14ac:dyDescent="0.2">
      <c r="A249" s="250" t="s">
        <v>695</v>
      </c>
      <c r="B249" s="250" t="s">
        <v>696</v>
      </c>
      <c r="D249" s="178">
        <v>1586.31</v>
      </c>
      <c r="E249" s="178">
        <v>382.01</v>
      </c>
      <c r="F249" s="178">
        <v>1204.3</v>
      </c>
    </row>
    <row r="250" spans="1:6" x14ac:dyDescent="0.2">
      <c r="A250" s="250" t="s">
        <v>697</v>
      </c>
      <c r="B250" s="250" t="s">
        <v>698</v>
      </c>
      <c r="D250" s="178">
        <v>319.58</v>
      </c>
      <c r="E250" s="178">
        <v>64.34</v>
      </c>
      <c r="F250" s="178">
        <v>255.24</v>
      </c>
    </row>
    <row r="251" spans="1:6" x14ac:dyDescent="0.2">
      <c r="C251" s="197" t="s">
        <v>465</v>
      </c>
      <c r="D251" s="197" t="s">
        <v>465</v>
      </c>
      <c r="E251" s="197" t="s">
        <v>465</v>
      </c>
      <c r="F251" s="197" t="s">
        <v>465</v>
      </c>
    </row>
    <row r="252" spans="1:6" x14ac:dyDescent="0.2">
      <c r="A252" s="255"/>
      <c r="B252" s="256" t="s">
        <v>699</v>
      </c>
      <c r="C252" s="196"/>
      <c r="D252" s="196">
        <v>14097.82</v>
      </c>
      <c r="E252" s="196">
        <v>6120.89</v>
      </c>
      <c r="F252" s="196">
        <v>7976.93</v>
      </c>
    </row>
    <row r="254" spans="1:6" x14ac:dyDescent="0.2">
      <c r="A254" s="255"/>
      <c r="B254" s="256" t="s">
        <v>700</v>
      </c>
      <c r="C254" s="196"/>
      <c r="D254" s="196"/>
      <c r="E254" s="196"/>
      <c r="F254" s="196"/>
    </row>
    <row r="255" spans="1:6" x14ac:dyDescent="0.2">
      <c r="A255" s="250" t="s">
        <v>701</v>
      </c>
      <c r="B255" s="250" t="s">
        <v>700</v>
      </c>
      <c r="D255" s="178">
        <v>1665.04</v>
      </c>
      <c r="E255" s="178">
        <v>235.76</v>
      </c>
      <c r="F255" s="178">
        <v>1429.28</v>
      </c>
    </row>
    <row r="256" spans="1:6" x14ac:dyDescent="0.2">
      <c r="A256" s="250" t="s">
        <v>702</v>
      </c>
      <c r="B256" s="250" t="s">
        <v>703</v>
      </c>
      <c r="D256" s="178">
        <v>1545.16</v>
      </c>
      <c r="E256" s="178">
        <v>494.57</v>
      </c>
      <c r="F256" s="178">
        <v>1050.5899999999999</v>
      </c>
    </row>
    <row r="257" spans="1:6" x14ac:dyDescent="0.2">
      <c r="A257" s="250" t="s">
        <v>704</v>
      </c>
      <c r="B257" s="250" t="s">
        <v>705</v>
      </c>
      <c r="D257" s="178">
        <v>3858.56</v>
      </c>
      <c r="E257" s="178">
        <v>1097.46</v>
      </c>
      <c r="F257" s="178">
        <v>2761.1</v>
      </c>
    </row>
    <row r="258" spans="1:6" x14ac:dyDescent="0.2">
      <c r="A258" s="250" t="s">
        <v>706</v>
      </c>
      <c r="B258" s="250" t="s">
        <v>707</v>
      </c>
      <c r="D258" s="178">
        <v>92.38</v>
      </c>
      <c r="E258" s="178">
        <v>33.06</v>
      </c>
      <c r="F258" s="178">
        <v>59.32</v>
      </c>
    </row>
    <row r="259" spans="1:6" x14ac:dyDescent="0.2">
      <c r="A259" s="250" t="s">
        <v>708</v>
      </c>
      <c r="B259" s="250" t="s">
        <v>709</v>
      </c>
      <c r="D259" s="178">
        <v>44.48</v>
      </c>
      <c r="F259" s="178">
        <v>44.48</v>
      </c>
    </row>
    <row r="260" spans="1:6" x14ac:dyDescent="0.2">
      <c r="A260" s="250" t="s">
        <v>710</v>
      </c>
      <c r="B260" s="250" t="s">
        <v>700</v>
      </c>
      <c r="D260" s="178">
        <v>41.72</v>
      </c>
      <c r="F260" s="178">
        <v>41.72</v>
      </c>
    </row>
    <row r="261" spans="1:6" x14ac:dyDescent="0.2">
      <c r="C261" s="197" t="s">
        <v>465</v>
      </c>
      <c r="D261" s="197" t="s">
        <v>465</v>
      </c>
      <c r="E261" s="197" t="s">
        <v>465</v>
      </c>
      <c r="F261" s="197" t="s">
        <v>465</v>
      </c>
    </row>
    <row r="262" spans="1:6" x14ac:dyDescent="0.2">
      <c r="A262" s="255"/>
      <c r="B262" s="256" t="s">
        <v>711</v>
      </c>
      <c r="C262" s="196"/>
      <c r="D262" s="196">
        <v>7247.34</v>
      </c>
      <c r="E262" s="196">
        <v>1860.85</v>
      </c>
      <c r="F262" s="196">
        <v>5386.49</v>
      </c>
    </row>
    <row r="264" spans="1:6" x14ac:dyDescent="0.2">
      <c r="A264" s="255"/>
      <c r="B264" s="256" t="s">
        <v>712</v>
      </c>
      <c r="C264" s="196"/>
      <c r="D264" s="196"/>
      <c r="E264" s="196"/>
      <c r="F264" s="196"/>
    </row>
    <row r="265" spans="1:6" x14ac:dyDescent="0.2">
      <c r="A265" s="250" t="s">
        <v>713</v>
      </c>
      <c r="B265" s="250" t="s">
        <v>714</v>
      </c>
      <c r="D265" s="178">
        <v>508.92</v>
      </c>
      <c r="E265" s="178">
        <v>56.66</v>
      </c>
      <c r="F265" s="178">
        <v>452.26</v>
      </c>
    </row>
    <row r="266" spans="1:6" x14ac:dyDescent="0.2">
      <c r="A266" s="250" t="s">
        <v>1232</v>
      </c>
      <c r="B266" s="250" t="s">
        <v>1233</v>
      </c>
      <c r="D266" s="178">
        <v>3080</v>
      </c>
      <c r="E266" s="178">
        <v>850</v>
      </c>
      <c r="F266" s="178">
        <v>2230</v>
      </c>
    </row>
    <row r="267" spans="1:6" x14ac:dyDescent="0.2">
      <c r="A267" s="250" t="s">
        <v>1234</v>
      </c>
      <c r="B267" s="250" t="s">
        <v>1235</v>
      </c>
      <c r="D267" s="178">
        <v>559.82000000000005</v>
      </c>
      <c r="F267" s="178">
        <v>559.82000000000005</v>
      </c>
    </row>
    <row r="268" spans="1:6" x14ac:dyDescent="0.2">
      <c r="C268" s="197" t="s">
        <v>465</v>
      </c>
      <c r="D268" s="197" t="s">
        <v>465</v>
      </c>
      <c r="E268" s="197" t="s">
        <v>465</v>
      </c>
      <c r="F268" s="197" t="s">
        <v>465</v>
      </c>
    </row>
    <row r="269" spans="1:6" x14ac:dyDescent="0.2">
      <c r="A269" s="255"/>
      <c r="B269" s="256" t="s">
        <v>715</v>
      </c>
      <c r="C269" s="196"/>
      <c r="D269" s="196">
        <v>4148.74</v>
      </c>
      <c r="E269" s="196">
        <v>906.66</v>
      </c>
      <c r="F269" s="196">
        <v>3242.08</v>
      </c>
    </row>
    <row r="271" spans="1:6" x14ac:dyDescent="0.2">
      <c r="A271" s="255"/>
      <c r="B271" s="256" t="s">
        <v>716</v>
      </c>
      <c r="C271" s="196"/>
      <c r="D271" s="196"/>
      <c r="E271" s="196"/>
      <c r="F271" s="196"/>
    </row>
    <row r="272" spans="1:6" x14ac:dyDescent="0.2">
      <c r="A272" s="250" t="s">
        <v>717</v>
      </c>
      <c r="B272" s="250" t="s">
        <v>718</v>
      </c>
      <c r="D272" s="178">
        <v>22.13</v>
      </c>
      <c r="E272" s="178">
        <v>6.96</v>
      </c>
      <c r="F272" s="178">
        <v>15.17</v>
      </c>
    </row>
    <row r="273" spans="1:6" x14ac:dyDescent="0.2">
      <c r="A273" s="250" t="s">
        <v>719</v>
      </c>
      <c r="B273" s="250" t="s">
        <v>720</v>
      </c>
      <c r="D273" s="178">
        <v>293.3</v>
      </c>
      <c r="E273" s="178">
        <v>5.5</v>
      </c>
      <c r="F273" s="178">
        <v>287.8</v>
      </c>
    </row>
    <row r="274" spans="1:6" x14ac:dyDescent="0.2">
      <c r="A274" s="250" t="s">
        <v>721</v>
      </c>
      <c r="B274" s="250" t="s">
        <v>722</v>
      </c>
      <c r="D274" s="178">
        <v>33.49</v>
      </c>
      <c r="E274" s="178">
        <v>5.3</v>
      </c>
      <c r="F274" s="178">
        <v>28.19</v>
      </c>
    </row>
    <row r="275" spans="1:6" x14ac:dyDescent="0.2">
      <c r="C275" s="197" t="s">
        <v>465</v>
      </c>
      <c r="D275" s="197" t="s">
        <v>465</v>
      </c>
      <c r="E275" s="197" t="s">
        <v>465</v>
      </c>
      <c r="F275" s="197" t="s">
        <v>465</v>
      </c>
    </row>
    <row r="276" spans="1:6" x14ac:dyDescent="0.2">
      <c r="A276" s="255"/>
      <c r="B276" s="256" t="s">
        <v>723</v>
      </c>
      <c r="C276" s="196"/>
      <c r="D276" s="196">
        <v>348.92</v>
      </c>
      <c r="E276" s="196">
        <v>17.760000000000002</v>
      </c>
      <c r="F276" s="196">
        <v>331.16</v>
      </c>
    </row>
    <row r="278" spans="1:6" x14ac:dyDescent="0.2">
      <c r="A278" s="255"/>
      <c r="B278" s="256" t="s">
        <v>724</v>
      </c>
      <c r="C278" s="196"/>
      <c r="D278" s="196"/>
      <c r="E278" s="196"/>
      <c r="F278" s="196"/>
    </row>
    <row r="279" spans="1:6" x14ac:dyDescent="0.2">
      <c r="A279" s="250" t="s">
        <v>725</v>
      </c>
      <c r="B279" s="250" t="s">
        <v>726</v>
      </c>
      <c r="D279" s="178">
        <v>742.1</v>
      </c>
      <c r="E279" s="178">
        <v>18.12</v>
      </c>
      <c r="F279" s="178">
        <v>723.98</v>
      </c>
    </row>
    <row r="280" spans="1:6" x14ac:dyDescent="0.2">
      <c r="A280" s="250" t="s">
        <v>1236</v>
      </c>
      <c r="B280" s="250" t="s">
        <v>1237</v>
      </c>
      <c r="D280" s="178">
        <v>68.05</v>
      </c>
      <c r="E280" s="178">
        <v>9.52</v>
      </c>
      <c r="F280" s="178">
        <v>58.53</v>
      </c>
    </row>
    <row r="281" spans="1:6" x14ac:dyDescent="0.2">
      <c r="A281" s="250" t="s">
        <v>727</v>
      </c>
      <c r="B281" s="250" t="s">
        <v>728</v>
      </c>
      <c r="D281" s="178">
        <v>993.89</v>
      </c>
      <c r="E281" s="178">
        <v>250.62</v>
      </c>
      <c r="F281" s="178">
        <v>743.27</v>
      </c>
    </row>
    <row r="282" spans="1:6" x14ac:dyDescent="0.2">
      <c r="A282" s="250" t="s">
        <v>1238</v>
      </c>
      <c r="B282" s="250" t="s">
        <v>1239</v>
      </c>
      <c r="D282" s="178">
        <v>3.64</v>
      </c>
      <c r="F282" s="178">
        <v>3.64</v>
      </c>
    </row>
    <row r="283" spans="1:6" x14ac:dyDescent="0.2">
      <c r="A283" s="250" t="s">
        <v>729</v>
      </c>
      <c r="B283" s="250" t="s">
        <v>730</v>
      </c>
      <c r="D283" s="178">
        <v>8226.6</v>
      </c>
      <c r="E283" s="178">
        <v>217.94</v>
      </c>
      <c r="F283" s="178">
        <v>8008.66</v>
      </c>
    </row>
    <row r="284" spans="1:6" x14ac:dyDescent="0.2">
      <c r="C284" s="197" t="s">
        <v>465</v>
      </c>
      <c r="D284" s="197" t="s">
        <v>465</v>
      </c>
      <c r="E284" s="197" t="s">
        <v>465</v>
      </c>
      <c r="F284" s="197" t="s">
        <v>465</v>
      </c>
    </row>
    <row r="285" spans="1:6" x14ac:dyDescent="0.2">
      <c r="A285" s="255"/>
      <c r="B285" s="256" t="s">
        <v>731</v>
      </c>
      <c r="C285" s="196"/>
      <c r="D285" s="196">
        <v>10034.280000000001</v>
      </c>
      <c r="E285" s="196">
        <v>496.2</v>
      </c>
      <c r="F285" s="196">
        <v>9538.08</v>
      </c>
    </row>
    <row r="287" spans="1:6" x14ac:dyDescent="0.2">
      <c r="A287" s="255"/>
      <c r="B287" s="256" t="s">
        <v>732</v>
      </c>
      <c r="C287" s="196"/>
      <c r="D287" s="196"/>
      <c r="E287" s="196"/>
      <c r="F287" s="196"/>
    </row>
    <row r="288" spans="1:6" x14ac:dyDescent="0.2">
      <c r="A288" s="250" t="s">
        <v>733</v>
      </c>
      <c r="B288" s="250" t="s">
        <v>734</v>
      </c>
      <c r="D288" s="178">
        <v>67.02</v>
      </c>
      <c r="F288" s="178">
        <v>67.02</v>
      </c>
    </row>
    <row r="289" spans="1:6" x14ac:dyDescent="0.2">
      <c r="A289" s="250" t="s">
        <v>735</v>
      </c>
      <c r="B289" s="250" t="s">
        <v>170</v>
      </c>
      <c r="D289" s="178">
        <v>2736</v>
      </c>
      <c r="E289" s="178">
        <v>1231</v>
      </c>
      <c r="F289" s="178">
        <v>1505</v>
      </c>
    </row>
    <row r="290" spans="1:6" x14ac:dyDescent="0.2">
      <c r="A290" s="250" t="s">
        <v>736</v>
      </c>
      <c r="B290" s="250" t="s">
        <v>737</v>
      </c>
      <c r="D290" s="178">
        <v>4446.04</v>
      </c>
      <c r="E290" s="178">
        <v>2163.9299999999998</v>
      </c>
      <c r="F290" s="178">
        <v>2282.11</v>
      </c>
    </row>
    <row r="291" spans="1:6" x14ac:dyDescent="0.2">
      <c r="C291" s="197" t="s">
        <v>465</v>
      </c>
      <c r="D291" s="197" t="s">
        <v>465</v>
      </c>
      <c r="E291" s="197" t="s">
        <v>465</v>
      </c>
      <c r="F291" s="197" t="s">
        <v>465</v>
      </c>
    </row>
    <row r="292" spans="1:6" x14ac:dyDescent="0.2">
      <c r="A292" s="255"/>
      <c r="B292" s="256" t="s">
        <v>738</v>
      </c>
      <c r="C292" s="196"/>
      <c r="D292" s="196">
        <v>7249.06</v>
      </c>
      <c r="E292" s="196">
        <v>3394.93</v>
      </c>
      <c r="F292" s="196">
        <v>3854.13</v>
      </c>
    </row>
    <row r="294" spans="1:6" x14ac:dyDescent="0.2">
      <c r="A294" s="255"/>
      <c r="B294" s="256" t="s">
        <v>739</v>
      </c>
      <c r="C294" s="196"/>
      <c r="D294" s="196"/>
      <c r="E294" s="196"/>
      <c r="F294" s="196"/>
    </row>
    <row r="295" spans="1:6" x14ac:dyDescent="0.2">
      <c r="A295" s="250" t="s">
        <v>740</v>
      </c>
      <c r="B295" s="250" t="s">
        <v>741</v>
      </c>
      <c r="D295" s="178">
        <v>6525.73</v>
      </c>
      <c r="E295" s="178">
        <v>1010.37</v>
      </c>
      <c r="F295" s="178">
        <v>5515.36</v>
      </c>
    </row>
    <row r="296" spans="1:6" x14ac:dyDescent="0.2">
      <c r="A296" s="250" t="s">
        <v>742</v>
      </c>
      <c r="B296" s="250" t="s">
        <v>743</v>
      </c>
      <c r="D296" s="178">
        <v>1173</v>
      </c>
      <c r="E296" s="178">
        <v>127</v>
      </c>
      <c r="F296" s="178">
        <v>1046</v>
      </c>
    </row>
    <row r="297" spans="1:6" x14ac:dyDescent="0.2">
      <c r="A297" s="250" t="s">
        <v>744</v>
      </c>
      <c r="B297" s="250" t="s">
        <v>745</v>
      </c>
      <c r="D297" s="178">
        <v>1176</v>
      </c>
      <c r="F297" s="178">
        <v>1176</v>
      </c>
    </row>
    <row r="298" spans="1:6" x14ac:dyDescent="0.2">
      <c r="A298" s="250" t="s">
        <v>746</v>
      </c>
      <c r="B298" s="250" t="s">
        <v>747</v>
      </c>
      <c r="D298" s="178">
        <v>1935.53</v>
      </c>
      <c r="E298" s="178">
        <v>687.03</v>
      </c>
      <c r="F298" s="178">
        <v>1248.5</v>
      </c>
    </row>
    <row r="299" spans="1:6" x14ac:dyDescent="0.2">
      <c r="A299" s="250" t="s">
        <v>748</v>
      </c>
      <c r="B299" s="250" t="s">
        <v>749</v>
      </c>
      <c r="D299" s="178">
        <v>52681.65</v>
      </c>
      <c r="E299" s="178">
        <v>34807.910000000003</v>
      </c>
      <c r="F299" s="178">
        <v>17873.740000000002</v>
      </c>
    </row>
    <row r="300" spans="1:6" x14ac:dyDescent="0.2">
      <c r="A300" s="250" t="s">
        <v>750</v>
      </c>
      <c r="B300" s="250" t="s">
        <v>751</v>
      </c>
      <c r="D300" s="178">
        <v>50</v>
      </c>
      <c r="F300" s="178">
        <v>50</v>
      </c>
    </row>
    <row r="301" spans="1:6" x14ac:dyDescent="0.2">
      <c r="A301" s="250" t="s">
        <v>752</v>
      </c>
      <c r="B301" s="250" t="s">
        <v>753</v>
      </c>
      <c r="D301" s="178">
        <v>68400.92</v>
      </c>
      <c r="E301" s="178">
        <v>26384.73</v>
      </c>
      <c r="F301" s="178">
        <v>42016.19</v>
      </c>
    </row>
    <row r="302" spans="1:6" x14ac:dyDescent="0.2">
      <c r="C302" s="197" t="s">
        <v>465</v>
      </c>
      <c r="D302" s="197" t="s">
        <v>465</v>
      </c>
      <c r="E302" s="197" t="s">
        <v>465</v>
      </c>
      <c r="F302" s="197" t="s">
        <v>465</v>
      </c>
    </row>
    <row r="303" spans="1:6" x14ac:dyDescent="0.2">
      <c r="A303" s="255"/>
      <c r="B303" s="256" t="s">
        <v>739</v>
      </c>
      <c r="C303" s="196"/>
      <c r="D303" s="196">
        <v>131942.82999999999</v>
      </c>
      <c r="E303" s="196">
        <v>63017.04</v>
      </c>
      <c r="F303" s="196">
        <v>68925.789999999994</v>
      </c>
    </row>
    <row r="305" spans="1:6" x14ac:dyDescent="0.2">
      <c r="A305" s="255"/>
      <c r="B305" s="256" t="s">
        <v>754</v>
      </c>
      <c r="C305" s="196"/>
      <c r="D305" s="196"/>
      <c r="E305" s="196"/>
      <c r="F305" s="196"/>
    </row>
    <row r="306" spans="1:6" x14ac:dyDescent="0.2">
      <c r="A306" s="250" t="s">
        <v>755</v>
      </c>
      <c r="B306" s="250" t="s">
        <v>754</v>
      </c>
      <c r="D306" s="178">
        <v>215.42</v>
      </c>
      <c r="E306" s="178">
        <v>117.41</v>
      </c>
      <c r="F306" s="178">
        <v>98.01</v>
      </c>
    </row>
    <row r="307" spans="1:6" x14ac:dyDescent="0.2">
      <c r="A307" s="250" t="s">
        <v>756</v>
      </c>
      <c r="B307" s="250" t="s">
        <v>757</v>
      </c>
      <c r="D307" s="178">
        <v>1374.05</v>
      </c>
      <c r="E307" s="178">
        <v>704.53</v>
      </c>
      <c r="F307" s="178">
        <v>669.52</v>
      </c>
    </row>
    <row r="308" spans="1:6" x14ac:dyDescent="0.2">
      <c r="A308" s="250" t="s">
        <v>758</v>
      </c>
      <c r="B308" s="250" t="s">
        <v>759</v>
      </c>
      <c r="D308" s="178">
        <v>563.03</v>
      </c>
      <c r="F308" s="178">
        <v>563.03</v>
      </c>
    </row>
    <row r="309" spans="1:6" x14ac:dyDescent="0.2">
      <c r="A309" s="250" t="s">
        <v>760</v>
      </c>
      <c r="B309" s="250" t="s">
        <v>761</v>
      </c>
      <c r="D309" s="178">
        <v>9.75</v>
      </c>
      <c r="E309" s="178">
        <v>12.73</v>
      </c>
      <c r="F309" s="178">
        <v>-2.98</v>
      </c>
    </row>
    <row r="310" spans="1:6" x14ac:dyDescent="0.2">
      <c r="C310" s="197" t="s">
        <v>465</v>
      </c>
      <c r="D310" s="197" t="s">
        <v>465</v>
      </c>
      <c r="E310" s="197" t="s">
        <v>465</v>
      </c>
      <c r="F310" s="197" t="s">
        <v>465</v>
      </c>
    </row>
    <row r="311" spans="1:6" x14ac:dyDescent="0.2">
      <c r="A311" s="255"/>
      <c r="B311" s="256" t="s">
        <v>762</v>
      </c>
      <c r="C311" s="196"/>
      <c r="D311" s="196">
        <v>2162.25</v>
      </c>
      <c r="E311" s="196">
        <v>834.67</v>
      </c>
      <c r="F311" s="196">
        <v>1327.58</v>
      </c>
    </row>
    <row r="313" spans="1:6" x14ac:dyDescent="0.2">
      <c r="A313" s="255"/>
      <c r="B313" s="256" t="s">
        <v>763</v>
      </c>
      <c r="C313" s="196"/>
      <c r="D313" s="196"/>
      <c r="E313" s="196"/>
      <c r="F313" s="196"/>
    </row>
    <row r="314" spans="1:6" x14ac:dyDescent="0.2">
      <c r="A314" s="250" t="s">
        <v>764</v>
      </c>
      <c r="B314" s="250" t="s">
        <v>765</v>
      </c>
      <c r="D314" s="178">
        <v>4106.3999999999996</v>
      </c>
      <c r="E314" s="178">
        <v>248.82</v>
      </c>
      <c r="F314" s="178">
        <v>3857.58</v>
      </c>
    </row>
    <row r="315" spans="1:6" x14ac:dyDescent="0.2">
      <c r="C315" s="197" t="s">
        <v>465</v>
      </c>
      <c r="D315" s="197" t="s">
        <v>465</v>
      </c>
      <c r="E315" s="197" t="s">
        <v>465</v>
      </c>
      <c r="F315" s="197" t="s">
        <v>465</v>
      </c>
    </row>
    <row r="316" spans="1:6" x14ac:dyDescent="0.2">
      <c r="A316" s="255"/>
      <c r="B316" s="256" t="s">
        <v>766</v>
      </c>
      <c r="C316" s="196"/>
      <c r="D316" s="196">
        <v>4106.3999999999996</v>
      </c>
      <c r="E316" s="196">
        <v>248.82</v>
      </c>
      <c r="F316" s="196">
        <v>3857.58</v>
      </c>
    </row>
    <row r="318" spans="1:6" x14ac:dyDescent="0.2">
      <c r="A318" s="255"/>
      <c r="B318" s="256" t="s">
        <v>767</v>
      </c>
      <c r="C318" s="196"/>
      <c r="D318" s="196"/>
      <c r="E318" s="196"/>
      <c r="F318" s="196"/>
    </row>
    <row r="319" spans="1:6" x14ac:dyDescent="0.2">
      <c r="A319" s="250" t="s">
        <v>768</v>
      </c>
      <c r="B319" s="250" t="s">
        <v>769</v>
      </c>
      <c r="D319" s="178">
        <v>56.37</v>
      </c>
      <c r="E319" s="178">
        <v>7.4</v>
      </c>
      <c r="F319" s="178">
        <v>48.97</v>
      </c>
    </row>
    <row r="320" spans="1:6" x14ac:dyDescent="0.2">
      <c r="A320" s="250" t="s">
        <v>770</v>
      </c>
      <c r="B320" s="250" t="s">
        <v>771</v>
      </c>
      <c r="D320" s="178">
        <v>282</v>
      </c>
      <c r="F320" s="178">
        <v>282</v>
      </c>
    </row>
    <row r="321" spans="1:6" x14ac:dyDescent="0.2">
      <c r="A321" s="250" t="s">
        <v>772</v>
      </c>
      <c r="B321" s="250" t="s">
        <v>773</v>
      </c>
      <c r="D321" s="178">
        <v>49</v>
      </c>
      <c r="F321" s="178">
        <v>49</v>
      </c>
    </row>
    <row r="322" spans="1:6" x14ac:dyDescent="0.2">
      <c r="A322" s="250" t="s">
        <v>774</v>
      </c>
      <c r="B322" s="250" t="s">
        <v>775</v>
      </c>
      <c r="D322" s="178">
        <v>939</v>
      </c>
      <c r="F322" s="178">
        <v>939</v>
      </c>
    </row>
    <row r="323" spans="1:6" x14ac:dyDescent="0.2">
      <c r="A323" s="250" t="s">
        <v>1240</v>
      </c>
      <c r="B323" s="250" t="s">
        <v>1241</v>
      </c>
      <c r="D323" s="178">
        <v>14</v>
      </c>
      <c r="E323" s="178">
        <v>7</v>
      </c>
      <c r="F323" s="178">
        <v>7</v>
      </c>
    </row>
    <row r="324" spans="1:6" x14ac:dyDescent="0.2">
      <c r="A324" s="250" t="s">
        <v>776</v>
      </c>
      <c r="B324" s="250" t="s">
        <v>777</v>
      </c>
      <c r="D324" s="178">
        <v>239</v>
      </c>
      <c r="F324" s="178">
        <v>239</v>
      </c>
    </row>
    <row r="325" spans="1:6" x14ac:dyDescent="0.2">
      <c r="A325" s="250" t="s">
        <v>778</v>
      </c>
      <c r="B325" s="250" t="s">
        <v>779</v>
      </c>
      <c r="D325" s="178">
        <v>49</v>
      </c>
      <c r="F325" s="178">
        <v>49</v>
      </c>
    </row>
    <row r="326" spans="1:6" x14ac:dyDescent="0.2">
      <c r="A326" s="250" t="s">
        <v>780</v>
      </c>
      <c r="B326" s="250" t="s">
        <v>781</v>
      </c>
      <c r="D326" s="178">
        <v>22</v>
      </c>
      <c r="F326" s="178">
        <v>22</v>
      </c>
    </row>
    <row r="327" spans="1:6" x14ac:dyDescent="0.2">
      <c r="A327" s="250" t="s">
        <v>782</v>
      </c>
      <c r="B327" s="250" t="s">
        <v>783</v>
      </c>
      <c r="D327" s="178">
        <v>45</v>
      </c>
      <c r="F327" s="178">
        <v>45</v>
      </c>
    </row>
    <row r="328" spans="1:6" x14ac:dyDescent="0.2">
      <c r="A328" s="250" t="s">
        <v>784</v>
      </c>
      <c r="B328" s="250" t="s">
        <v>785</v>
      </c>
      <c r="D328" s="178">
        <v>81</v>
      </c>
      <c r="F328" s="178">
        <v>81</v>
      </c>
    </row>
    <row r="329" spans="1:6" x14ac:dyDescent="0.2">
      <c r="C329" s="197" t="s">
        <v>465</v>
      </c>
      <c r="D329" s="197" t="s">
        <v>465</v>
      </c>
      <c r="E329" s="197" t="s">
        <v>465</v>
      </c>
      <c r="F329" s="197" t="s">
        <v>465</v>
      </c>
    </row>
    <row r="330" spans="1:6" x14ac:dyDescent="0.2">
      <c r="A330" s="255"/>
      <c r="B330" s="256" t="s">
        <v>786</v>
      </c>
      <c r="C330" s="196"/>
      <c r="D330" s="196">
        <v>1776.37</v>
      </c>
      <c r="E330" s="196">
        <v>14.4</v>
      </c>
      <c r="F330" s="196">
        <v>1761.97</v>
      </c>
    </row>
    <row r="332" spans="1:6" x14ac:dyDescent="0.2">
      <c r="A332" s="255"/>
      <c r="B332" s="256" t="s">
        <v>787</v>
      </c>
      <c r="C332" s="196"/>
      <c r="D332" s="196"/>
      <c r="E332" s="196"/>
      <c r="F332" s="196"/>
    </row>
    <row r="333" spans="1:6" x14ac:dyDescent="0.2">
      <c r="A333" s="250" t="s">
        <v>788</v>
      </c>
      <c r="B333" s="250" t="s">
        <v>789</v>
      </c>
      <c r="D333" s="178">
        <v>3.72</v>
      </c>
      <c r="E333" s="178">
        <v>0.27</v>
      </c>
      <c r="F333" s="178">
        <v>3.45</v>
      </c>
    </row>
    <row r="334" spans="1:6" x14ac:dyDescent="0.2">
      <c r="A334" s="250" t="s">
        <v>790</v>
      </c>
      <c r="B334" s="250" t="s">
        <v>791</v>
      </c>
      <c r="D334" s="178">
        <v>35.36</v>
      </c>
      <c r="E334" s="178">
        <v>0.78</v>
      </c>
      <c r="F334" s="178">
        <v>34.58</v>
      </c>
    </row>
    <row r="335" spans="1:6" x14ac:dyDescent="0.2">
      <c r="A335" s="250" t="s">
        <v>792</v>
      </c>
      <c r="B335" s="250" t="s">
        <v>793</v>
      </c>
      <c r="D335" s="178">
        <v>9.1199999999999992</v>
      </c>
      <c r="E335" s="178">
        <v>1.52</v>
      </c>
      <c r="F335" s="178">
        <v>7.6</v>
      </c>
    </row>
    <row r="336" spans="1:6" x14ac:dyDescent="0.2">
      <c r="A336" s="250" t="s">
        <v>794</v>
      </c>
      <c r="B336" s="250" t="s">
        <v>795</v>
      </c>
      <c r="D336" s="178">
        <v>390.14</v>
      </c>
      <c r="E336" s="178">
        <v>3.19</v>
      </c>
      <c r="F336" s="178">
        <v>386.95</v>
      </c>
    </row>
    <row r="337" spans="1:6" x14ac:dyDescent="0.2">
      <c r="C337" s="197" t="s">
        <v>465</v>
      </c>
      <c r="D337" s="197" t="s">
        <v>465</v>
      </c>
      <c r="E337" s="197" t="s">
        <v>465</v>
      </c>
      <c r="F337" s="197" t="s">
        <v>465</v>
      </c>
    </row>
    <row r="338" spans="1:6" x14ac:dyDescent="0.2">
      <c r="A338" s="255"/>
      <c r="B338" s="256" t="s">
        <v>796</v>
      </c>
      <c r="C338" s="196"/>
      <c r="D338" s="196">
        <v>438.34</v>
      </c>
      <c r="E338" s="196">
        <v>5.76</v>
      </c>
      <c r="F338" s="196">
        <v>432.58</v>
      </c>
    </row>
    <row r="340" spans="1:6" x14ac:dyDescent="0.2">
      <c r="A340" s="255"/>
      <c r="B340" s="256" t="s">
        <v>797</v>
      </c>
      <c r="C340" s="196"/>
      <c r="D340" s="196"/>
      <c r="E340" s="196"/>
      <c r="F340" s="196"/>
    </row>
    <row r="341" spans="1:6" x14ac:dyDescent="0.2">
      <c r="A341" s="250" t="s">
        <v>798</v>
      </c>
      <c r="B341" s="250" t="s">
        <v>799</v>
      </c>
      <c r="D341" s="178">
        <v>5489.09</v>
      </c>
      <c r="E341" s="178">
        <v>515.17999999999995</v>
      </c>
      <c r="F341" s="178">
        <v>4973.91</v>
      </c>
    </row>
    <row r="342" spans="1:6" x14ac:dyDescent="0.2">
      <c r="A342" s="250" t="s">
        <v>800</v>
      </c>
      <c r="B342" s="250" t="s">
        <v>801</v>
      </c>
      <c r="D342" s="178">
        <v>941.51</v>
      </c>
      <c r="E342" s="178">
        <v>59.68</v>
      </c>
      <c r="F342" s="178">
        <v>881.83</v>
      </c>
    </row>
    <row r="343" spans="1:6" x14ac:dyDescent="0.2">
      <c r="A343" s="250" t="s">
        <v>802</v>
      </c>
      <c r="B343" s="250" t="s">
        <v>803</v>
      </c>
      <c r="D343" s="178">
        <v>564.41</v>
      </c>
      <c r="E343" s="178">
        <v>77.56</v>
      </c>
      <c r="F343" s="178">
        <v>486.85</v>
      </c>
    </row>
    <row r="344" spans="1:6" x14ac:dyDescent="0.2">
      <c r="A344" s="250" t="s">
        <v>804</v>
      </c>
      <c r="B344" s="250" t="s">
        <v>805</v>
      </c>
      <c r="D344" s="178">
        <v>12608.13</v>
      </c>
      <c r="E344" s="178">
        <v>5652.12</v>
      </c>
      <c r="F344" s="178">
        <v>6956.01</v>
      </c>
    </row>
    <row r="345" spans="1:6" x14ac:dyDescent="0.2">
      <c r="A345" s="250" t="s">
        <v>806</v>
      </c>
      <c r="B345" s="250" t="s">
        <v>807</v>
      </c>
      <c r="D345" s="178">
        <v>1556.3</v>
      </c>
      <c r="E345" s="178">
        <v>437.65</v>
      </c>
      <c r="F345" s="178">
        <v>1118.6500000000001</v>
      </c>
    </row>
    <row r="346" spans="1:6" x14ac:dyDescent="0.2">
      <c r="A346" s="250" t="s">
        <v>808</v>
      </c>
      <c r="B346" s="250" t="s">
        <v>809</v>
      </c>
      <c r="D346" s="178">
        <v>101.34</v>
      </c>
      <c r="E346" s="178">
        <v>17.71</v>
      </c>
      <c r="F346" s="178">
        <v>83.63</v>
      </c>
    </row>
    <row r="347" spans="1:6" x14ac:dyDescent="0.2">
      <c r="A347" s="250" t="s">
        <v>1242</v>
      </c>
      <c r="B347" s="250" t="s">
        <v>1243</v>
      </c>
      <c r="D347" s="178">
        <v>849.37</v>
      </c>
      <c r="F347" s="178">
        <v>849.37</v>
      </c>
    </row>
    <row r="348" spans="1:6" x14ac:dyDescent="0.2">
      <c r="A348" s="250" t="s">
        <v>810</v>
      </c>
      <c r="B348" s="250" t="s">
        <v>811</v>
      </c>
      <c r="D348" s="178">
        <v>24.43</v>
      </c>
      <c r="E348" s="178">
        <v>6.02</v>
      </c>
      <c r="F348" s="178">
        <v>18.41</v>
      </c>
    </row>
    <row r="349" spans="1:6" x14ac:dyDescent="0.2">
      <c r="A349" s="250" t="s">
        <v>812</v>
      </c>
      <c r="B349" s="250" t="s">
        <v>813</v>
      </c>
      <c r="D349" s="178">
        <v>25372.63</v>
      </c>
      <c r="E349" s="178">
        <v>9492.36</v>
      </c>
      <c r="F349" s="178">
        <v>15880.27</v>
      </c>
    </row>
    <row r="350" spans="1:6" x14ac:dyDescent="0.2">
      <c r="A350" s="250" t="s">
        <v>814</v>
      </c>
      <c r="B350" s="250" t="s">
        <v>815</v>
      </c>
      <c r="D350" s="178">
        <v>872.3</v>
      </c>
      <c r="E350" s="178">
        <v>102.24</v>
      </c>
      <c r="F350" s="178">
        <v>770.06</v>
      </c>
    </row>
    <row r="351" spans="1:6" x14ac:dyDescent="0.2">
      <c r="C351" s="197" t="s">
        <v>465</v>
      </c>
      <c r="D351" s="197" t="s">
        <v>465</v>
      </c>
      <c r="E351" s="197" t="s">
        <v>465</v>
      </c>
      <c r="F351" s="197" t="s">
        <v>465</v>
      </c>
    </row>
    <row r="352" spans="1:6" x14ac:dyDescent="0.2">
      <c r="A352" s="255"/>
      <c r="B352" s="256" t="s">
        <v>816</v>
      </c>
      <c r="C352" s="196"/>
      <c r="D352" s="196">
        <v>48379.51</v>
      </c>
      <c r="E352" s="196">
        <v>16360.52</v>
      </c>
      <c r="F352" s="196">
        <v>32018.99</v>
      </c>
    </row>
    <row r="354" spans="1:6" x14ac:dyDescent="0.2">
      <c r="A354" s="255"/>
      <c r="B354" s="256" t="s">
        <v>817</v>
      </c>
      <c r="C354" s="196"/>
      <c r="D354" s="196"/>
      <c r="E354" s="196"/>
      <c r="F354" s="196"/>
    </row>
    <row r="355" spans="1:6" x14ac:dyDescent="0.2">
      <c r="A355" s="250" t="s">
        <v>818</v>
      </c>
      <c r="B355" s="250" t="s">
        <v>819</v>
      </c>
      <c r="D355" s="178">
        <v>2989.21</v>
      </c>
      <c r="E355" s="178">
        <v>191.78</v>
      </c>
      <c r="F355" s="178">
        <v>2797.43</v>
      </c>
    </row>
    <row r="356" spans="1:6" x14ac:dyDescent="0.2">
      <c r="A356" s="250" t="s">
        <v>820</v>
      </c>
      <c r="B356" s="250" t="s">
        <v>821</v>
      </c>
      <c r="D356" s="178">
        <v>10.7</v>
      </c>
      <c r="E356" s="178">
        <v>1.45</v>
      </c>
      <c r="F356" s="178">
        <v>9.25</v>
      </c>
    </row>
    <row r="357" spans="1:6" x14ac:dyDescent="0.2">
      <c r="A357" s="250" t="s">
        <v>822</v>
      </c>
      <c r="B357" s="250" t="s">
        <v>823</v>
      </c>
      <c r="D357" s="178">
        <v>3520.01</v>
      </c>
      <c r="E357" s="178">
        <v>2176.06</v>
      </c>
      <c r="F357" s="178">
        <v>1343.95</v>
      </c>
    </row>
    <row r="358" spans="1:6" x14ac:dyDescent="0.2">
      <c r="C358" s="197" t="s">
        <v>465</v>
      </c>
      <c r="D358" s="197" t="s">
        <v>465</v>
      </c>
      <c r="E358" s="197" t="s">
        <v>465</v>
      </c>
      <c r="F358" s="197" t="s">
        <v>465</v>
      </c>
    </row>
    <row r="359" spans="1:6" x14ac:dyDescent="0.2">
      <c r="A359" s="255"/>
      <c r="B359" s="256" t="s">
        <v>824</v>
      </c>
      <c r="C359" s="196"/>
      <c r="D359" s="196">
        <v>6519.92</v>
      </c>
      <c r="E359" s="196">
        <v>2369.29</v>
      </c>
      <c r="F359" s="196">
        <v>4150.63</v>
      </c>
    </row>
    <row r="361" spans="1:6" x14ac:dyDescent="0.2">
      <c r="A361" s="256" t="s">
        <v>825</v>
      </c>
      <c r="B361" s="256" t="s">
        <v>826</v>
      </c>
      <c r="C361" s="196"/>
      <c r="D361" s="196">
        <v>150</v>
      </c>
      <c r="E361" s="196">
        <v>150</v>
      </c>
      <c r="F361" s="196"/>
    </row>
    <row r="363" spans="1:6" x14ac:dyDescent="0.2">
      <c r="A363" s="256" t="s">
        <v>827</v>
      </c>
      <c r="B363" s="256" t="s">
        <v>828</v>
      </c>
      <c r="C363" s="196"/>
      <c r="D363" s="196"/>
      <c r="E363" s="196">
        <v>46</v>
      </c>
      <c r="F363" s="196">
        <v>-46</v>
      </c>
    </row>
    <row r="365" spans="1:6" x14ac:dyDescent="0.2">
      <c r="A365" s="255"/>
      <c r="B365" s="256" t="s">
        <v>829</v>
      </c>
      <c r="C365" s="196"/>
      <c r="D365" s="196"/>
      <c r="E365" s="196"/>
      <c r="F365" s="196"/>
    </row>
    <row r="366" spans="1:6" x14ac:dyDescent="0.2">
      <c r="A366" s="250" t="s">
        <v>830</v>
      </c>
      <c r="B366" s="250" t="s">
        <v>166</v>
      </c>
      <c r="D366" s="178">
        <v>30017</v>
      </c>
      <c r="E366" s="178">
        <v>14405.68</v>
      </c>
      <c r="F366" s="178">
        <v>15611.32</v>
      </c>
    </row>
    <row r="367" spans="1:6" x14ac:dyDescent="0.2">
      <c r="C367" s="197" t="s">
        <v>465</v>
      </c>
      <c r="D367" s="197" t="s">
        <v>465</v>
      </c>
      <c r="E367" s="197" t="s">
        <v>465</v>
      </c>
      <c r="F367" s="197" t="s">
        <v>465</v>
      </c>
    </row>
    <row r="368" spans="1:6" x14ac:dyDescent="0.2">
      <c r="A368" s="255"/>
      <c r="B368" s="256" t="s">
        <v>831</v>
      </c>
      <c r="C368" s="196"/>
      <c r="D368" s="196">
        <v>30017</v>
      </c>
      <c r="E368" s="196">
        <v>14405.68</v>
      </c>
      <c r="F368" s="196">
        <v>15611.32</v>
      </c>
    </row>
    <row r="370" spans="1:6" x14ac:dyDescent="0.2">
      <c r="A370" s="255"/>
      <c r="B370" s="256" t="s">
        <v>832</v>
      </c>
      <c r="C370" s="196"/>
      <c r="D370" s="196"/>
      <c r="E370" s="196"/>
      <c r="F370" s="196"/>
    </row>
    <row r="371" spans="1:6" x14ac:dyDescent="0.2">
      <c r="A371" s="250" t="s">
        <v>833</v>
      </c>
      <c r="B371" s="250" t="s">
        <v>834</v>
      </c>
      <c r="D371" s="178">
        <v>1424.53</v>
      </c>
      <c r="E371" s="178">
        <v>192.19</v>
      </c>
      <c r="F371" s="178">
        <v>1232.3399999999999</v>
      </c>
    </row>
    <row r="372" spans="1:6" x14ac:dyDescent="0.2">
      <c r="A372" s="250" t="s">
        <v>835</v>
      </c>
      <c r="B372" s="250" t="s">
        <v>836</v>
      </c>
      <c r="D372" s="178">
        <v>5386.3</v>
      </c>
      <c r="E372" s="178">
        <v>1512.27</v>
      </c>
      <c r="F372" s="178">
        <v>3874.03</v>
      </c>
    </row>
    <row r="373" spans="1:6" x14ac:dyDescent="0.2">
      <c r="A373" s="250" t="s">
        <v>837</v>
      </c>
      <c r="B373" s="250" t="s">
        <v>559</v>
      </c>
      <c r="D373" s="178">
        <v>12636.06</v>
      </c>
      <c r="F373" s="178">
        <v>12636.06</v>
      </c>
    </row>
    <row r="374" spans="1:6" x14ac:dyDescent="0.2">
      <c r="A374" s="250" t="s">
        <v>838</v>
      </c>
      <c r="B374" s="250" t="s">
        <v>839</v>
      </c>
      <c r="D374" s="178">
        <v>352</v>
      </c>
      <c r="F374" s="178">
        <v>352</v>
      </c>
    </row>
    <row r="375" spans="1:6" x14ac:dyDescent="0.2">
      <c r="C375" s="197" t="s">
        <v>465</v>
      </c>
      <c r="D375" s="197" t="s">
        <v>465</v>
      </c>
      <c r="E375" s="197" t="s">
        <v>465</v>
      </c>
      <c r="F375" s="197" t="s">
        <v>465</v>
      </c>
    </row>
    <row r="376" spans="1:6" x14ac:dyDescent="0.2">
      <c r="A376" s="255"/>
      <c r="B376" s="256" t="s">
        <v>840</v>
      </c>
      <c r="C376" s="196"/>
      <c r="D376" s="196">
        <v>19798.89</v>
      </c>
      <c r="E376" s="196">
        <v>1704.46</v>
      </c>
      <c r="F376" s="196">
        <v>18094.43</v>
      </c>
    </row>
    <row r="378" spans="1:6" x14ac:dyDescent="0.2">
      <c r="A378" s="255"/>
      <c r="B378" s="256" t="s">
        <v>841</v>
      </c>
      <c r="C378" s="196"/>
      <c r="D378" s="196"/>
      <c r="E378" s="196"/>
      <c r="F378" s="196"/>
    </row>
    <row r="379" spans="1:6" x14ac:dyDescent="0.2">
      <c r="A379" s="250" t="s">
        <v>842</v>
      </c>
      <c r="B379" s="250" t="s">
        <v>843</v>
      </c>
      <c r="D379" s="178">
        <v>4805</v>
      </c>
      <c r="E379" s="178">
        <v>19848</v>
      </c>
      <c r="F379" s="178">
        <v>-15043</v>
      </c>
    </row>
    <row r="380" spans="1:6" x14ac:dyDescent="0.2">
      <c r="A380" s="250" t="s">
        <v>844</v>
      </c>
      <c r="B380" s="250" t="s">
        <v>845</v>
      </c>
      <c r="D380" s="178">
        <v>38336</v>
      </c>
      <c r="E380" s="178">
        <v>92307</v>
      </c>
      <c r="F380" s="178">
        <v>-53971</v>
      </c>
    </row>
    <row r="381" spans="1:6" x14ac:dyDescent="0.2">
      <c r="A381" s="250" t="s">
        <v>1244</v>
      </c>
      <c r="B381" s="250" t="s">
        <v>1245</v>
      </c>
      <c r="D381" s="178">
        <v>2106</v>
      </c>
      <c r="E381" s="178">
        <v>3574</v>
      </c>
      <c r="F381" s="178">
        <v>-1468</v>
      </c>
    </row>
    <row r="382" spans="1:6" x14ac:dyDescent="0.2">
      <c r="A382" s="250" t="s">
        <v>1246</v>
      </c>
      <c r="B382" s="250" t="s">
        <v>1247</v>
      </c>
      <c r="E382" s="178">
        <v>8831</v>
      </c>
      <c r="F382" s="178">
        <v>-8831</v>
      </c>
    </row>
    <row r="383" spans="1:6" x14ac:dyDescent="0.2">
      <c r="A383" s="250" t="s">
        <v>412</v>
      </c>
      <c r="B383" s="250" t="s">
        <v>846</v>
      </c>
      <c r="D383" s="178">
        <v>93164</v>
      </c>
      <c r="E383" s="178">
        <v>36767</v>
      </c>
      <c r="F383" s="178">
        <v>56397</v>
      </c>
    </row>
    <row r="384" spans="1:6" x14ac:dyDescent="0.2">
      <c r="A384" s="250" t="s">
        <v>1248</v>
      </c>
      <c r="B384" s="250" t="s">
        <v>1249</v>
      </c>
      <c r="D384" s="178">
        <v>10298</v>
      </c>
      <c r="F384" s="178">
        <v>10298</v>
      </c>
    </row>
    <row r="385" spans="1:6" x14ac:dyDescent="0.2">
      <c r="A385" s="250" t="s">
        <v>847</v>
      </c>
      <c r="B385" s="250" t="s">
        <v>848</v>
      </c>
      <c r="D385" s="178">
        <v>65029</v>
      </c>
      <c r="E385" s="178">
        <v>73495</v>
      </c>
      <c r="F385" s="178">
        <v>-8466</v>
      </c>
    </row>
    <row r="386" spans="1:6" x14ac:dyDescent="0.2">
      <c r="A386" s="250" t="s">
        <v>1250</v>
      </c>
      <c r="B386" s="250" t="s">
        <v>1251</v>
      </c>
      <c r="E386" s="178">
        <v>2106</v>
      </c>
      <c r="F386" s="178">
        <v>-2106</v>
      </c>
    </row>
    <row r="387" spans="1:6" x14ac:dyDescent="0.2">
      <c r="C387" s="197" t="s">
        <v>465</v>
      </c>
      <c r="D387" s="197" t="s">
        <v>465</v>
      </c>
      <c r="E387" s="197" t="s">
        <v>465</v>
      </c>
      <c r="F387" s="197" t="s">
        <v>465</v>
      </c>
    </row>
    <row r="388" spans="1:6" x14ac:dyDescent="0.2">
      <c r="A388" s="255"/>
      <c r="B388" s="256" t="s">
        <v>849</v>
      </c>
      <c r="C388" s="196"/>
      <c r="D388" s="196">
        <v>213738</v>
      </c>
      <c r="E388" s="196">
        <v>236928</v>
      </c>
      <c r="F388" s="196">
        <v>-23190</v>
      </c>
    </row>
    <row r="390" spans="1:6" x14ac:dyDescent="0.2">
      <c r="A390" s="255"/>
      <c r="B390" s="256" t="s">
        <v>850</v>
      </c>
      <c r="C390" s="196"/>
      <c r="D390" s="196"/>
      <c r="E390" s="196"/>
      <c r="F390" s="196"/>
    </row>
    <row r="391" spans="1:6" x14ac:dyDescent="0.2">
      <c r="A391" s="250" t="s">
        <v>851</v>
      </c>
      <c r="B391" s="250" t="s">
        <v>444</v>
      </c>
      <c r="D391" s="178">
        <v>10576.13</v>
      </c>
      <c r="E391" s="178">
        <v>0.06</v>
      </c>
      <c r="F391" s="178">
        <v>10576.07</v>
      </c>
    </row>
    <row r="392" spans="1:6" x14ac:dyDescent="0.2">
      <c r="A392" s="250" t="s">
        <v>852</v>
      </c>
      <c r="B392" s="250" t="s">
        <v>853</v>
      </c>
      <c r="D392" s="178">
        <v>10984.74</v>
      </c>
      <c r="F392" s="178">
        <v>10984.74</v>
      </c>
    </row>
    <row r="393" spans="1:6" x14ac:dyDescent="0.2">
      <c r="C393" s="197" t="s">
        <v>465</v>
      </c>
      <c r="D393" s="197" t="s">
        <v>465</v>
      </c>
      <c r="E393" s="197" t="s">
        <v>465</v>
      </c>
      <c r="F393" s="197" t="s">
        <v>465</v>
      </c>
    </row>
    <row r="394" spans="1:6" x14ac:dyDescent="0.2">
      <c r="A394" s="255"/>
      <c r="B394" s="256" t="s">
        <v>854</v>
      </c>
      <c r="C394" s="196"/>
      <c r="D394" s="196">
        <v>21560.87</v>
      </c>
      <c r="E394" s="196">
        <v>0.06</v>
      </c>
      <c r="F394" s="196">
        <v>21560.81</v>
      </c>
    </row>
    <row r="396" spans="1:6" x14ac:dyDescent="0.2">
      <c r="A396" s="255"/>
      <c r="B396" s="256" t="s">
        <v>855</v>
      </c>
      <c r="C396" s="196"/>
      <c r="D396" s="196"/>
      <c r="E396" s="196"/>
      <c r="F396" s="196"/>
    </row>
    <row r="397" spans="1:6" x14ac:dyDescent="0.2">
      <c r="A397" s="250" t="s">
        <v>856</v>
      </c>
      <c r="B397" s="250" t="s">
        <v>857</v>
      </c>
      <c r="D397" s="178">
        <v>118</v>
      </c>
      <c r="E397" s="178">
        <v>36.68</v>
      </c>
      <c r="F397" s="178">
        <v>81.319999999999993</v>
      </c>
    </row>
    <row r="398" spans="1:6" x14ac:dyDescent="0.2">
      <c r="C398" s="197" t="s">
        <v>465</v>
      </c>
      <c r="D398" s="197" t="s">
        <v>465</v>
      </c>
      <c r="E398" s="197" t="s">
        <v>465</v>
      </c>
      <c r="F398" s="197" t="s">
        <v>465</v>
      </c>
    </row>
    <row r="399" spans="1:6" x14ac:dyDescent="0.2">
      <c r="A399" s="255"/>
      <c r="B399" s="256" t="s">
        <v>858</v>
      </c>
      <c r="C399" s="196"/>
      <c r="D399" s="196">
        <v>118</v>
      </c>
      <c r="E399" s="196">
        <v>36.68</v>
      </c>
      <c r="F399" s="196">
        <v>81.319999999999993</v>
      </c>
    </row>
    <row r="401" spans="1:6" x14ac:dyDescent="0.2">
      <c r="A401" s="255"/>
      <c r="B401" s="256" t="s">
        <v>859</v>
      </c>
      <c r="C401" s="196"/>
      <c r="D401" s="196"/>
      <c r="E401" s="196"/>
      <c r="F401" s="196"/>
    </row>
    <row r="402" spans="1:6" x14ac:dyDescent="0.2">
      <c r="A402" s="250" t="s">
        <v>860</v>
      </c>
      <c r="B402" s="250" t="s">
        <v>861</v>
      </c>
      <c r="D402" s="178">
        <v>107.1</v>
      </c>
      <c r="E402" s="178">
        <v>15.3</v>
      </c>
      <c r="F402" s="178">
        <v>91.8</v>
      </c>
    </row>
    <row r="403" spans="1:6" x14ac:dyDescent="0.2">
      <c r="C403" s="197" t="s">
        <v>465</v>
      </c>
      <c r="D403" s="197" t="s">
        <v>465</v>
      </c>
      <c r="E403" s="197" t="s">
        <v>465</v>
      </c>
      <c r="F403" s="197" t="s">
        <v>465</v>
      </c>
    </row>
    <row r="404" spans="1:6" x14ac:dyDescent="0.2">
      <c r="A404" s="255"/>
      <c r="B404" s="256" t="s">
        <v>862</v>
      </c>
      <c r="C404" s="196"/>
      <c r="D404" s="196">
        <v>107.1</v>
      </c>
      <c r="E404" s="196">
        <v>15.3</v>
      </c>
      <c r="F404" s="196">
        <v>91.8</v>
      </c>
    </row>
    <row r="406" spans="1:6" x14ac:dyDescent="0.2">
      <c r="A406" s="255"/>
      <c r="B406" s="256" t="s">
        <v>863</v>
      </c>
      <c r="C406" s="196"/>
      <c r="D406" s="196"/>
      <c r="E406" s="196"/>
      <c r="F406" s="196"/>
    </row>
    <row r="407" spans="1:6" x14ac:dyDescent="0.2">
      <c r="A407" s="250" t="s">
        <v>1252</v>
      </c>
      <c r="B407" s="250" t="s">
        <v>1253</v>
      </c>
      <c r="D407" s="178">
        <v>16</v>
      </c>
      <c r="E407" s="178">
        <v>26</v>
      </c>
      <c r="F407" s="178">
        <v>-10</v>
      </c>
    </row>
    <row r="408" spans="1:6" x14ac:dyDescent="0.2">
      <c r="A408" s="250" t="s">
        <v>864</v>
      </c>
      <c r="B408" s="250" t="s">
        <v>865</v>
      </c>
      <c r="D408" s="178">
        <v>95</v>
      </c>
      <c r="E408" s="178">
        <v>129</v>
      </c>
      <c r="F408" s="178">
        <v>-34</v>
      </c>
    </row>
    <row r="409" spans="1:6" x14ac:dyDescent="0.2">
      <c r="A409" s="250" t="s">
        <v>1254</v>
      </c>
      <c r="B409" s="250" t="s">
        <v>1255</v>
      </c>
      <c r="D409" s="178">
        <v>3859</v>
      </c>
      <c r="E409" s="178">
        <v>3859</v>
      </c>
    </row>
    <row r="410" spans="1:6" x14ac:dyDescent="0.2">
      <c r="A410" s="250" t="s">
        <v>866</v>
      </c>
      <c r="B410" s="250" t="s">
        <v>867</v>
      </c>
      <c r="D410" s="178">
        <v>4</v>
      </c>
      <c r="E410" s="178">
        <v>4</v>
      </c>
    </row>
    <row r="411" spans="1:6" x14ac:dyDescent="0.2">
      <c r="C411" s="197" t="s">
        <v>465</v>
      </c>
      <c r="D411" s="197" t="s">
        <v>465</v>
      </c>
      <c r="E411" s="197" t="s">
        <v>465</v>
      </c>
      <c r="F411" s="197" t="s">
        <v>465</v>
      </c>
    </row>
    <row r="412" spans="1:6" x14ac:dyDescent="0.2">
      <c r="A412" s="255"/>
      <c r="B412" s="256" t="s">
        <v>868</v>
      </c>
      <c r="C412" s="196"/>
      <c r="D412" s="196">
        <v>3974</v>
      </c>
      <c r="E412" s="196">
        <v>4018</v>
      </c>
      <c r="F412" s="196">
        <v>-44</v>
      </c>
    </row>
    <row r="414" spans="1:6" x14ac:dyDescent="0.2">
      <c r="A414" s="256" t="s">
        <v>869</v>
      </c>
      <c r="B414" s="256" t="s">
        <v>870</v>
      </c>
      <c r="C414" s="196"/>
      <c r="D414" s="196">
        <v>794661.89</v>
      </c>
      <c r="E414" s="196">
        <v>856694.1</v>
      </c>
      <c r="F414" s="196">
        <v>-62032.21</v>
      </c>
    </row>
    <row r="416" spans="1:6" x14ac:dyDescent="0.2">
      <c r="C416" s="197" t="s">
        <v>465</v>
      </c>
      <c r="D416" s="197" t="s">
        <v>465</v>
      </c>
      <c r="E416" s="197" t="s">
        <v>465</v>
      </c>
      <c r="F416" s="197" t="s">
        <v>465</v>
      </c>
    </row>
    <row r="417" spans="1:6" x14ac:dyDescent="0.2">
      <c r="B417" s="250" t="s">
        <v>406</v>
      </c>
      <c r="D417" s="178">
        <v>7586161.4100000001</v>
      </c>
      <c r="E417" s="178">
        <v>7586161.4100000001</v>
      </c>
    </row>
    <row r="418" spans="1:6" x14ac:dyDescent="0.2">
      <c r="C418" s="197" t="s">
        <v>871</v>
      </c>
      <c r="D418" s="197" t="s">
        <v>871</v>
      </c>
      <c r="E418" s="197" t="s">
        <v>871</v>
      </c>
      <c r="F418" s="197" t="s">
        <v>871</v>
      </c>
    </row>
    <row r="423" spans="1:6" x14ac:dyDescent="0.2">
      <c r="A423" s="250" t="s">
        <v>872</v>
      </c>
    </row>
    <row r="424" spans="1:6" x14ac:dyDescent="0.2">
      <c r="A424" s="250" t="s">
        <v>873</v>
      </c>
    </row>
    <row r="425" spans="1:6" x14ac:dyDescent="0.2">
      <c r="A425" s="250" t="s">
        <v>1256</v>
      </c>
    </row>
    <row r="426" spans="1:6" x14ac:dyDescent="0.2">
      <c r="A426" s="250" t="s">
        <v>1257</v>
      </c>
    </row>
  </sheetData>
  <pageMargins left="0.75" right="0.75" top="0.75" bottom="0.75" header="0.5" footer="0.5"/>
  <pageSetup orientation="portrait"/>
  <headerFooter alignWithMargins="0"/>
  <rowBreaks count="1" manualBreakCount="1">
    <brk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9"/>
  <sheetViews>
    <sheetView workbookViewId="0">
      <selection activeCell="A22" sqref="A22:E25"/>
    </sheetView>
  </sheetViews>
  <sheetFormatPr defaultColWidth="9.140625" defaultRowHeight="12.75" x14ac:dyDescent="0.2"/>
  <cols>
    <col min="1" max="3" width="9.140625" style="233"/>
    <col min="4" max="4" width="13" style="233" customWidth="1"/>
    <col min="5" max="5" width="37.85546875" style="233" customWidth="1"/>
    <col min="6" max="6" width="19" style="233" customWidth="1"/>
    <col min="7" max="7" width="13.28515625" style="233" customWidth="1"/>
    <col min="8" max="8" width="18.7109375" style="233" customWidth="1"/>
    <col min="9" max="9" width="16.140625" style="233" customWidth="1"/>
    <col min="10" max="10" width="11.7109375" style="233" customWidth="1"/>
    <col min="11" max="11" width="20.42578125" style="233" customWidth="1"/>
    <col min="12" max="12" width="9.140625" style="233" customWidth="1"/>
    <col min="13" max="13" width="9.85546875" style="233" customWidth="1"/>
    <col min="14" max="14" width="16" style="233" customWidth="1"/>
    <col min="15" max="15" width="16.5703125" style="233" customWidth="1"/>
    <col min="16" max="16" width="10.5703125" style="233" customWidth="1"/>
    <col min="17" max="17" width="19.42578125" style="233" customWidth="1"/>
    <col min="18" max="18" width="18.28515625" style="233" customWidth="1"/>
    <col min="19" max="19" width="27" style="233" customWidth="1"/>
    <col min="20" max="20" width="21.85546875" style="233" customWidth="1"/>
    <col min="21" max="21" width="30.5703125" style="233" customWidth="1"/>
    <col min="22" max="22" width="5.140625" style="233" customWidth="1"/>
    <col min="23" max="23" width="19.28515625" style="233" customWidth="1"/>
    <col min="24" max="24" width="5.42578125" style="233" customWidth="1"/>
    <col min="25" max="25" width="14.28515625" style="233" customWidth="1"/>
    <col min="26" max="26" width="19.5703125" style="233" customWidth="1"/>
    <col min="27" max="27" width="12.5703125" style="233" customWidth="1"/>
    <col min="28" max="28" width="16.28515625" style="233" customWidth="1"/>
    <col min="29" max="16384" width="9.140625" style="233"/>
  </cols>
  <sheetData>
    <row r="1" spans="1:28" ht="30" x14ac:dyDescent="0.4">
      <c r="A1" s="38" t="s">
        <v>211</v>
      </c>
      <c r="D1" s="319"/>
      <c r="E1" s="319"/>
      <c r="F1" s="319"/>
      <c r="G1" s="319"/>
      <c r="H1" s="319"/>
    </row>
    <row r="2" spans="1:28" ht="18" customHeight="1" x14ac:dyDescent="0.25">
      <c r="D2" s="320" t="s">
        <v>189</v>
      </c>
      <c r="E2" s="319"/>
      <c r="F2" s="319"/>
      <c r="G2" s="319"/>
      <c r="H2" s="319"/>
      <c r="I2" s="233" t="s">
        <v>21</v>
      </c>
      <c r="J2" s="233" t="s">
        <v>21</v>
      </c>
      <c r="K2" s="233" t="s">
        <v>21</v>
      </c>
      <c r="L2" s="233" t="s">
        <v>21</v>
      </c>
      <c r="M2" s="233" t="s">
        <v>21</v>
      </c>
      <c r="N2" s="233" t="s">
        <v>21</v>
      </c>
      <c r="O2" s="233" t="s">
        <v>21</v>
      </c>
      <c r="P2" s="233" t="s">
        <v>21</v>
      </c>
      <c r="Q2" s="233" t="s">
        <v>21</v>
      </c>
      <c r="R2" s="233" t="s">
        <v>21</v>
      </c>
      <c r="S2" s="233" t="s">
        <v>21</v>
      </c>
      <c r="T2" s="233" t="s">
        <v>21</v>
      </c>
      <c r="U2" s="233" t="s">
        <v>21</v>
      </c>
      <c r="V2" s="233" t="s">
        <v>21</v>
      </c>
      <c r="W2" s="233" t="s">
        <v>21</v>
      </c>
      <c r="X2" s="233" t="s">
        <v>21</v>
      </c>
      <c r="Y2" s="233" t="s">
        <v>21</v>
      </c>
      <c r="Z2" s="233" t="s">
        <v>21</v>
      </c>
      <c r="AA2" s="233" t="s">
        <v>21</v>
      </c>
      <c r="AB2" s="233" t="s">
        <v>21</v>
      </c>
    </row>
    <row r="3" spans="1:28" ht="15" customHeight="1" x14ac:dyDescent="0.2">
      <c r="D3" s="321" t="s">
        <v>1214</v>
      </c>
      <c r="E3" s="319"/>
      <c r="F3" s="319"/>
      <c r="G3" s="319"/>
      <c r="H3" s="319"/>
      <c r="I3" s="233" t="s">
        <v>21</v>
      </c>
      <c r="J3" s="233" t="s">
        <v>21</v>
      </c>
      <c r="K3" s="233" t="s">
        <v>21</v>
      </c>
      <c r="L3" s="233" t="s">
        <v>21</v>
      </c>
      <c r="M3" s="233" t="s">
        <v>21</v>
      </c>
      <c r="N3" s="233" t="s">
        <v>21</v>
      </c>
      <c r="O3" s="233" t="s">
        <v>21</v>
      </c>
      <c r="P3" s="233" t="s">
        <v>21</v>
      </c>
      <c r="Q3" s="233" t="s">
        <v>21</v>
      </c>
      <c r="R3" s="233" t="s">
        <v>21</v>
      </c>
      <c r="S3" s="233" t="s">
        <v>21</v>
      </c>
      <c r="T3" s="233" t="s">
        <v>21</v>
      </c>
      <c r="U3" s="233" t="s">
        <v>21</v>
      </c>
      <c r="V3" s="233" t="s">
        <v>21</v>
      </c>
      <c r="W3" s="233" t="s">
        <v>21</v>
      </c>
      <c r="X3" s="233" t="s">
        <v>21</v>
      </c>
      <c r="Y3" s="233" t="s">
        <v>21</v>
      </c>
      <c r="Z3" s="233" t="s">
        <v>21</v>
      </c>
      <c r="AA3" s="233" t="s">
        <v>21</v>
      </c>
      <c r="AB3" s="233" t="s">
        <v>21</v>
      </c>
    </row>
    <row r="4" spans="1:28" ht="15" customHeight="1" x14ac:dyDescent="0.25">
      <c r="D4" s="363" t="s">
        <v>1199</v>
      </c>
      <c r="E4" s="364"/>
      <c r="F4" s="364"/>
      <c r="G4" s="364"/>
      <c r="H4" s="364"/>
      <c r="I4" s="233" t="s">
        <v>21</v>
      </c>
      <c r="J4" s="233" t="s">
        <v>21</v>
      </c>
      <c r="K4" s="233" t="s">
        <v>21</v>
      </c>
      <c r="L4" s="233" t="s">
        <v>21</v>
      </c>
      <c r="M4" s="233" t="s">
        <v>21</v>
      </c>
      <c r="N4" s="233" t="s">
        <v>21</v>
      </c>
      <c r="O4" s="233" t="s">
        <v>21</v>
      </c>
      <c r="P4" s="233" t="s">
        <v>21</v>
      </c>
      <c r="Q4" s="233" t="s">
        <v>21</v>
      </c>
      <c r="R4" s="233" t="s">
        <v>21</v>
      </c>
      <c r="S4" s="233" t="s">
        <v>21</v>
      </c>
      <c r="T4" s="233" t="s">
        <v>21</v>
      </c>
      <c r="U4" s="233" t="s">
        <v>21</v>
      </c>
      <c r="V4" s="233" t="s">
        <v>21</v>
      </c>
      <c r="W4" s="233" t="s">
        <v>21</v>
      </c>
      <c r="X4" s="233" t="s">
        <v>21</v>
      </c>
      <c r="Y4" s="233" t="s">
        <v>21</v>
      </c>
      <c r="Z4" s="233" t="s">
        <v>21</v>
      </c>
      <c r="AA4" s="233" t="s">
        <v>21</v>
      </c>
      <c r="AB4" s="233" t="s">
        <v>21</v>
      </c>
    </row>
    <row r="5" spans="1:28" ht="12.75" customHeight="1" x14ac:dyDescent="0.2">
      <c r="D5" s="321" t="s">
        <v>21</v>
      </c>
      <c r="E5" s="319"/>
      <c r="F5" s="319"/>
      <c r="G5" s="319"/>
      <c r="H5" s="319"/>
      <c r="I5" s="233" t="s">
        <v>21</v>
      </c>
      <c r="J5" s="233" t="s">
        <v>21</v>
      </c>
      <c r="K5" s="233" t="s">
        <v>21</v>
      </c>
      <c r="L5" s="233" t="s">
        <v>21</v>
      </c>
      <c r="M5" s="233" t="s">
        <v>21</v>
      </c>
      <c r="N5" s="233" t="s">
        <v>21</v>
      </c>
      <c r="O5" s="233" t="s">
        <v>21</v>
      </c>
      <c r="P5" s="233" t="s">
        <v>21</v>
      </c>
      <c r="Q5" s="233" t="s">
        <v>21</v>
      </c>
      <c r="R5" s="233" t="s">
        <v>21</v>
      </c>
      <c r="S5" s="233" t="s">
        <v>21</v>
      </c>
      <c r="T5" s="233" t="s">
        <v>21</v>
      </c>
      <c r="U5" s="233" t="s">
        <v>21</v>
      </c>
      <c r="V5" s="233" t="s">
        <v>21</v>
      </c>
      <c r="W5" s="233" t="s">
        <v>21</v>
      </c>
      <c r="X5" s="233" t="s">
        <v>21</v>
      </c>
      <c r="Y5" s="233" t="s">
        <v>21</v>
      </c>
      <c r="Z5" s="233" t="s">
        <v>21</v>
      </c>
      <c r="AA5" s="233" t="s">
        <v>21</v>
      </c>
      <c r="AB5" s="233" t="s">
        <v>21</v>
      </c>
    </row>
    <row r="6" spans="1:28" ht="12.75" customHeight="1" x14ac:dyDescent="0.2">
      <c r="D6" s="321"/>
      <c r="E6" s="319"/>
      <c r="F6" s="319"/>
      <c r="G6" s="319"/>
      <c r="H6" s="319"/>
    </row>
    <row r="7" spans="1:28" ht="12.75" customHeight="1" x14ac:dyDescent="0.2">
      <c r="C7" s="238"/>
      <c r="D7" s="322">
        <v>1</v>
      </c>
      <c r="E7" s="322">
        <v>2</v>
      </c>
      <c r="F7" s="322">
        <v>3</v>
      </c>
      <c r="G7" s="322">
        <v>4</v>
      </c>
      <c r="H7" s="322">
        <v>5</v>
      </c>
      <c r="I7" s="322">
        <v>6</v>
      </c>
      <c r="J7" s="322">
        <v>7</v>
      </c>
      <c r="K7" s="322">
        <v>8</v>
      </c>
      <c r="L7" s="322">
        <v>9</v>
      </c>
      <c r="M7" s="322">
        <v>10</v>
      </c>
      <c r="N7" s="322">
        <v>11</v>
      </c>
      <c r="O7" s="322">
        <v>12</v>
      </c>
      <c r="P7" s="322">
        <v>13</v>
      </c>
      <c r="Q7" s="322">
        <v>14</v>
      </c>
      <c r="R7" s="322">
        <v>15</v>
      </c>
      <c r="S7" s="322">
        <v>16</v>
      </c>
      <c r="T7" s="322">
        <v>17</v>
      </c>
      <c r="U7" s="322">
        <v>18</v>
      </c>
      <c r="V7" s="322">
        <v>19</v>
      </c>
      <c r="W7" s="322">
        <v>20</v>
      </c>
      <c r="X7" s="322">
        <v>21</v>
      </c>
      <c r="Y7" s="322">
        <v>22</v>
      </c>
      <c r="Z7" s="322">
        <v>23</v>
      </c>
      <c r="AA7" s="322">
        <v>24</v>
      </c>
      <c r="AB7" s="322">
        <v>25</v>
      </c>
    </row>
    <row r="8" spans="1:28" ht="12.75" customHeight="1" x14ac:dyDescent="0.2">
      <c r="D8" s="233" t="s">
        <v>21</v>
      </c>
      <c r="E8" s="233" t="s">
        <v>21</v>
      </c>
      <c r="F8" s="233" t="s">
        <v>21</v>
      </c>
      <c r="G8" s="233" t="s">
        <v>21</v>
      </c>
      <c r="H8" s="233" t="s">
        <v>21</v>
      </c>
      <c r="I8" s="233" t="s">
        <v>21</v>
      </c>
      <c r="J8" s="233" t="s">
        <v>21</v>
      </c>
      <c r="K8" s="233" t="s">
        <v>21</v>
      </c>
      <c r="L8" s="233" t="s">
        <v>21</v>
      </c>
      <c r="M8" s="233" t="s">
        <v>21</v>
      </c>
      <c r="N8" s="233" t="s">
        <v>21</v>
      </c>
      <c r="O8" s="233" t="s">
        <v>21</v>
      </c>
      <c r="P8" s="233" t="s">
        <v>21</v>
      </c>
      <c r="Q8" s="233" t="s">
        <v>21</v>
      </c>
      <c r="R8" s="233" t="s">
        <v>21</v>
      </c>
      <c r="S8" s="233" t="s">
        <v>21</v>
      </c>
      <c r="T8" s="233" t="s">
        <v>21</v>
      </c>
      <c r="U8" s="233" t="s">
        <v>21</v>
      </c>
      <c r="V8" s="233" t="s">
        <v>21</v>
      </c>
      <c r="W8" s="233" t="s">
        <v>21</v>
      </c>
      <c r="X8" s="233" t="s">
        <v>21</v>
      </c>
      <c r="Y8" s="233" t="s">
        <v>21</v>
      </c>
      <c r="Z8" s="233" t="s">
        <v>21</v>
      </c>
      <c r="AA8" s="233" t="s">
        <v>21</v>
      </c>
      <c r="AB8" s="233" t="s">
        <v>21</v>
      </c>
    </row>
    <row r="9" spans="1:28" ht="12.75" customHeight="1" x14ac:dyDescent="0.25">
      <c r="A9" s="230" t="s">
        <v>187</v>
      </c>
      <c r="B9" s="230" t="s">
        <v>1198</v>
      </c>
      <c r="C9" s="232"/>
      <c r="D9" s="237" t="s">
        <v>186</v>
      </c>
      <c r="E9" s="237" t="s">
        <v>185</v>
      </c>
      <c r="F9" s="237" t="s">
        <v>184</v>
      </c>
      <c r="G9" s="237" t="s">
        <v>183</v>
      </c>
      <c r="H9" s="237" t="s">
        <v>182</v>
      </c>
      <c r="I9" s="237" t="s">
        <v>1213</v>
      </c>
      <c r="J9" s="237" t="s">
        <v>1212</v>
      </c>
      <c r="K9" s="237" t="s">
        <v>1211</v>
      </c>
      <c r="L9" s="237" t="s">
        <v>181</v>
      </c>
      <c r="M9" s="237" t="s">
        <v>180</v>
      </c>
      <c r="N9" s="237" t="s">
        <v>179</v>
      </c>
      <c r="O9" s="237" t="s">
        <v>204</v>
      </c>
      <c r="P9" s="237" t="s">
        <v>193</v>
      </c>
      <c r="Q9" s="237" t="s">
        <v>194</v>
      </c>
      <c r="R9" s="237" t="s">
        <v>195</v>
      </c>
      <c r="S9" s="237" t="s">
        <v>196</v>
      </c>
      <c r="T9" s="237" t="s">
        <v>197</v>
      </c>
      <c r="U9" s="237" t="s">
        <v>198</v>
      </c>
      <c r="V9" s="237" t="s">
        <v>178</v>
      </c>
      <c r="W9" s="237" t="s">
        <v>177</v>
      </c>
      <c r="X9" s="237" t="s">
        <v>176</v>
      </c>
      <c r="Y9" s="237" t="s">
        <v>175</v>
      </c>
      <c r="Z9" s="237" t="s">
        <v>174</v>
      </c>
      <c r="AA9" s="237" t="s">
        <v>173</v>
      </c>
      <c r="AB9" s="237" t="s">
        <v>172</v>
      </c>
    </row>
    <row r="10" spans="1:28" ht="12.75" customHeight="1" x14ac:dyDescent="0.25">
      <c r="A10" s="230" t="str">
        <f t="shared" ref="A10:A25" si="0">LEFT(D10,4)</f>
        <v>25AF</v>
      </c>
      <c r="B10" s="230">
        <v>282</v>
      </c>
      <c r="C10" s="84" t="s">
        <v>1195</v>
      </c>
      <c r="D10" s="233" t="s">
        <v>26</v>
      </c>
      <c r="E10" s="233" t="s">
        <v>171</v>
      </c>
      <c r="F10" s="236">
        <v>0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0</v>
      </c>
      <c r="M10" s="236">
        <v>0</v>
      </c>
      <c r="N10" s="236">
        <v>0</v>
      </c>
      <c r="O10" s="236">
        <v>0</v>
      </c>
      <c r="P10" s="236">
        <v>0</v>
      </c>
      <c r="Q10" s="236">
        <v>0</v>
      </c>
      <c r="R10" s="236">
        <v>0</v>
      </c>
      <c r="S10" s="236">
        <v>0</v>
      </c>
      <c r="T10" s="236">
        <v>0</v>
      </c>
      <c r="U10" s="236">
        <v>0</v>
      </c>
      <c r="V10" s="236">
        <v>0</v>
      </c>
      <c r="W10" s="236">
        <v>0</v>
      </c>
      <c r="X10" s="236">
        <v>0</v>
      </c>
      <c r="Y10" s="236">
        <v>0</v>
      </c>
      <c r="Z10" s="236">
        <v>0</v>
      </c>
      <c r="AA10" s="236">
        <v>0</v>
      </c>
      <c r="AB10" s="236">
        <v>0</v>
      </c>
    </row>
    <row r="11" spans="1:28" ht="12.75" customHeight="1" x14ac:dyDescent="0.25">
      <c r="A11" s="230" t="str">
        <f t="shared" si="0"/>
        <v>25AM</v>
      </c>
      <c r="B11" s="230">
        <v>283</v>
      </c>
      <c r="C11" s="82" t="s">
        <v>362</v>
      </c>
      <c r="D11" s="233" t="s">
        <v>49</v>
      </c>
      <c r="E11" s="233" t="s">
        <v>291</v>
      </c>
      <c r="F11" s="236">
        <v>224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3</v>
      </c>
      <c r="M11" s="236">
        <v>227</v>
      </c>
      <c r="N11" s="236">
        <v>0</v>
      </c>
      <c r="O11" s="236">
        <v>0</v>
      </c>
      <c r="P11" s="236">
        <v>0</v>
      </c>
      <c r="Q11" s="236">
        <v>0</v>
      </c>
      <c r="R11" s="236">
        <v>0</v>
      </c>
      <c r="S11" s="236">
        <v>0</v>
      </c>
      <c r="T11" s="236">
        <v>0</v>
      </c>
      <c r="U11" s="236">
        <v>0</v>
      </c>
      <c r="V11" s="236">
        <v>0</v>
      </c>
      <c r="W11" s="236">
        <v>0</v>
      </c>
      <c r="X11" s="236">
        <v>0</v>
      </c>
      <c r="Y11" s="236">
        <v>0</v>
      </c>
      <c r="Z11" s="236">
        <v>0</v>
      </c>
      <c r="AA11" s="236">
        <v>0</v>
      </c>
      <c r="AB11" s="236">
        <v>227</v>
      </c>
    </row>
    <row r="12" spans="1:28" ht="12.75" customHeight="1" x14ac:dyDescent="0.25">
      <c r="A12" s="230" t="str">
        <f t="shared" si="0"/>
        <v>25AM</v>
      </c>
      <c r="B12" s="230">
        <v>283</v>
      </c>
      <c r="C12" s="82" t="s">
        <v>362</v>
      </c>
      <c r="D12" s="233" t="s">
        <v>292</v>
      </c>
      <c r="E12" s="233" t="s">
        <v>293</v>
      </c>
      <c r="F12" s="236">
        <v>-60540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36">
        <v>-60540</v>
      </c>
      <c r="N12" s="236">
        <v>-12063</v>
      </c>
      <c r="O12" s="236">
        <v>0</v>
      </c>
      <c r="P12" s="236">
        <v>0</v>
      </c>
      <c r="Q12" s="236">
        <v>0</v>
      </c>
      <c r="R12" s="236">
        <v>0</v>
      </c>
      <c r="S12" s="236">
        <v>0</v>
      </c>
      <c r="T12" s="236">
        <v>0</v>
      </c>
      <c r="U12" s="236">
        <v>0</v>
      </c>
      <c r="V12" s="236">
        <v>0</v>
      </c>
      <c r="W12" s="236">
        <v>0</v>
      </c>
      <c r="X12" s="236">
        <v>0</v>
      </c>
      <c r="Y12" s="236">
        <v>0</v>
      </c>
      <c r="Z12" s="236">
        <v>0</v>
      </c>
      <c r="AA12" s="236">
        <v>0</v>
      </c>
      <c r="AB12" s="236">
        <v>-72603</v>
      </c>
    </row>
    <row r="13" spans="1:28" ht="12.75" customHeight="1" x14ac:dyDescent="0.25">
      <c r="A13" s="230" t="str">
        <f t="shared" si="0"/>
        <v>25BD</v>
      </c>
      <c r="B13" s="230">
        <v>283</v>
      </c>
      <c r="C13" s="82" t="s">
        <v>362</v>
      </c>
      <c r="D13" s="233" t="s">
        <v>51</v>
      </c>
      <c r="E13" s="233" t="s">
        <v>170</v>
      </c>
      <c r="F13" s="236">
        <v>464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90</v>
      </c>
      <c r="M13" s="236">
        <v>554</v>
      </c>
      <c r="N13" s="236">
        <v>-332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  <c r="T13" s="236">
        <v>0</v>
      </c>
      <c r="U13" s="236">
        <v>0</v>
      </c>
      <c r="V13" s="236">
        <v>0</v>
      </c>
      <c r="W13" s="236">
        <v>0</v>
      </c>
      <c r="X13" s="236">
        <v>0</v>
      </c>
      <c r="Y13" s="236">
        <v>0</v>
      </c>
      <c r="Z13" s="236">
        <v>0</v>
      </c>
      <c r="AA13" s="236">
        <v>0</v>
      </c>
      <c r="AB13" s="236">
        <v>222</v>
      </c>
    </row>
    <row r="14" spans="1:28" ht="12.75" customHeight="1" x14ac:dyDescent="0.25">
      <c r="A14" s="224" t="str">
        <f t="shared" si="0"/>
        <v>25BN</v>
      </c>
      <c r="B14" s="224">
        <v>283</v>
      </c>
      <c r="C14" s="82" t="s">
        <v>362</v>
      </c>
      <c r="D14" s="233" t="s">
        <v>169</v>
      </c>
      <c r="E14" s="233" t="s">
        <v>168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2395</v>
      </c>
      <c r="L14" s="236">
        <v>0</v>
      </c>
      <c r="M14" s="236">
        <v>2395</v>
      </c>
      <c r="N14" s="236">
        <v>0</v>
      </c>
      <c r="O14" s="236">
        <v>0</v>
      </c>
      <c r="P14" s="236">
        <v>0</v>
      </c>
      <c r="Q14" s="236">
        <v>0</v>
      </c>
      <c r="R14" s="236">
        <v>0</v>
      </c>
      <c r="S14" s="236">
        <v>0</v>
      </c>
      <c r="T14" s="236">
        <v>0</v>
      </c>
      <c r="U14" s="236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</v>
      </c>
      <c r="AA14" s="236">
        <v>0</v>
      </c>
      <c r="AB14" s="236">
        <v>2395</v>
      </c>
    </row>
    <row r="15" spans="1:28" ht="12.75" customHeight="1" x14ac:dyDescent="0.25">
      <c r="A15" s="230" t="str">
        <f t="shared" si="0"/>
        <v>25CN</v>
      </c>
      <c r="B15" s="230">
        <v>283</v>
      </c>
      <c r="C15" s="82" t="s">
        <v>362</v>
      </c>
      <c r="D15" s="233" t="s">
        <v>242</v>
      </c>
      <c r="E15" s="233" t="s">
        <v>294</v>
      </c>
      <c r="F15" s="236">
        <v>2082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36">
        <v>2082</v>
      </c>
      <c r="N15" s="236">
        <v>-1361</v>
      </c>
      <c r="O15" s="236">
        <v>0</v>
      </c>
      <c r="P15" s="236">
        <v>0</v>
      </c>
      <c r="Q15" s="236">
        <v>0</v>
      </c>
      <c r="R15" s="236">
        <v>0</v>
      </c>
      <c r="S15" s="236">
        <v>0</v>
      </c>
      <c r="T15" s="236">
        <v>0</v>
      </c>
      <c r="U15" s="236">
        <v>0</v>
      </c>
      <c r="V15" s="236">
        <v>0</v>
      </c>
      <c r="W15" s="236">
        <v>0</v>
      </c>
      <c r="X15" s="236">
        <v>0</v>
      </c>
      <c r="Y15" s="236">
        <v>0</v>
      </c>
      <c r="Z15" s="236">
        <v>0</v>
      </c>
      <c r="AA15" s="236">
        <v>0</v>
      </c>
      <c r="AB15" s="236">
        <v>721</v>
      </c>
    </row>
    <row r="16" spans="1:28" ht="12.75" customHeight="1" x14ac:dyDescent="0.25">
      <c r="A16" s="230" t="str">
        <f t="shared" si="0"/>
        <v>25DP</v>
      </c>
      <c r="B16" s="230">
        <v>282</v>
      </c>
      <c r="C16" s="80" t="s">
        <v>1196</v>
      </c>
      <c r="D16" s="233" t="s">
        <v>167</v>
      </c>
      <c r="E16" s="233" t="s">
        <v>166</v>
      </c>
      <c r="F16" s="236">
        <v>-70156</v>
      </c>
      <c r="G16" s="236">
        <v>0</v>
      </c>
      <c r="H16" s="236">
        <v>-197</v>
      </c>
      <c r="I16" s="236">
        <v>3532</v>
      </c>
      <c r="J16" s="236">
        <v>1062</v>
      </c>
      <c r="K16" s="236">
        <v>0</v>
      </c>
      <c r="L16" s="236">
        <v>447</v>
      </c>
      <c r="M16" s="236">
        <v>-65312</v>
      </c>
      <c r="N16" s="236">
        <v>-3700</v>
      </c>
      <c r="O16" s="236">
        <v>0</v>
      </c>
      <c r="P16" s="236">
        <v>0</v>
      </c>
      <c r="Q16" s="236">
        <v>0</v>
      </c>
      <c r="R16" s="236">
        <v>0</v>
      </c>
      <c r="S16" s="236">
        <v>0</v>
      </c>
      <c r="T16" s="236">
        <v>0</v>
      </c>
      <c r="U16" s="236">
        <v>0</v>
      </c>
      <c r="V16" s="236">
        <v>0</v>
      </c>
      <c r="W16" s="236">
        <v>0</v>
      </c>
      <c r="X16" s="236">
        <v>0</v>
      </c>
      <c r="Y16" s="236">
        <v>0</v>
      </c>
      <c r="Z16" s="236">
        <v>0</v>
      </c>
      <c r="AA16" s="236">
        <v>0</v>
      </c>
      <c r="AB16" s="236">
        <v>-69011</v>
      </c>
    </row>
    <row r="17" spans="1:28" ht="12.75" customHeight="1" x14ac:dyDescent="0.25">
      <c r="A17" s="230" t="str">
        <f t="shared" si="0"/>
        <v>25DP</v>
      </c>
      <c r="B17" s="230">
        <v>282</v>
      </c>
      <c r="C17" s="80" t="s">
        <v>1196</v>
      </c>
      <c r="D17" s="233" t="s">
        <v>165</v>
      </c>
      <c r="E17" s="233" t="s">
        <v>164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236">
        <v>0</v>
      </c>
      <c r="S17" s="236">
        <v>0</v>
      </c>
      <c r="T17" s="236">
        <v>0</v>
      </c>
      <c r="U17" s="236">
        <v>0</v>
      </c>
      <c r="V17" s="236">
        <v>0</v>
      </c>
      <c r="W17" s="236">
        <v>0</v>
      </c>
      <c r="X17" s="236">
        <v>0</v>
      </c>
      <c r="Y17" s="236">
        <v>0</v>
      </c>
      <c r="Z17" s="236">
        <v>0</v>
      </c>
      <c r="AA17" s="236">
        <v>0</v>
      </c>
      <c r="AB17" s="236">
        <v>0</v>
      </c>
    </row>
    <row r="18" spans="1:28" ht="12.75" customHeight="1" x14ac:dyDescent="0.25">
      <c r="A18" s="230" t="str">
        <f t="shared" si="0"/>
        <v>25DP</v>
      </c>
      <c r="B18" s="230">
        <v>282</v>
      </c>
      <c r="C18" s="84" t="s">
        <v>1195</v>
      </c>
      <c r="D18" s="233" t="s">
        <v>163</v>
      </c>
      <c r="E18" s="233" t="s">
        <v>147</v>
      </c>
      <c r="F18" s="236">
        <v>-6121</v>
      </c>
      <c r="G18" s="236">
        <v>0</v>
      </c>
      <c r="H18" s="236">
        <v>-10101</v>
      </c>
      <c r="I18" s="236">
        <v>0</v>
      </c>
      <c r="J18" s="236">
        <v>29764</v>
      </c>
      <c r="K18" s="236">
        <v>0</v>
      </c>
      <c r="L18" s="236">
        <v>0</v>
      </c>
      <c r="M18" s="236">
        <v>13542</v>
      </c>
      <c r="N18" s="236">
        <v>-36787</v>
      </c>
      <c r="O18" s="236">
        <v>0</v>
      </c>
      <c r="P18" s="236">
        <v>0</v>
      </c>
      <c r="Q18" s="236">
        <v>0</v>
      </c>
      <c r="R18" s="236">
        <v>0</v>
      </c>
      <c r="S18" s="236">
        <v>0</v>
      </c>
      <c r="T18" s="236">
        <v>0</v>
      </c>
      <c r="U18" s="236">
        <v>0</v>
      </c>
      <c r="V18" s="236">
        <v>0</v>
      </c>
      <c r="W18" s="236">
        <v>0</v>
      </c>
      <c r="X18" s="236">
        <v>0</v>
      </c>
      <c r="Y18" s="236">
        <v>0</v>
      </c>
      <c r="Z18" s="236">
        <v>0</v>
      </c>
      <c r="AA18" s="236">
        <v>0</v>
      </c>
      <c r="AB18" s="236">
        <v>-23245</v>
      </c>
    </row>
    <row r="19" spans="1:28" ht="12.75" customHeight="1" x14ac:dyDescent="0.25">
      <c r="A19" s="230" t="str">
        <f t="shared" si="0"/>
        <v>25DP</v>
      </c>
      <c r="B19" s="230">
        <v>282</v>
      </c>
      <c r="C19" s="80" t="s">
        <v>1196</v>
      </c>
      <c r="D19" s="233" t="s">
        <v>162</v>
      </c>
      <c r="E19" s="233" t="s">
        <v>161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-2150</v>
      </c>
      <c r="O19" s="236">
        <v>0</v>
      </c>
      <c r="P19" s="236">
        <v>0</v>
      </c>
      <c r="Q19" s="236">
        <v>0</v>
      </c>
      <c r="R19" s="236">
        <v>0</v>
      </c>
      <c r="S19" s="236">
        <v>0</v>
      </c>
      <c r="T19" s="236">
        <v>0</v>
      </c>
      <c r="U19" s="236">
        <v>0</v>
      </c>
      <c r="V19" s="236">
        <v>0</v>
      </c>
      <c r="W19" s="236">
        <v>0</v>
      </c>
      <c r="X19" s="236">
        <v>0</v>
      </c>
      <c r="Y19" s="236">
        <v>0</v>
      </c>
      <c r="Z19" s="236">
        <v>0</v>
      </c>
      <c r="AA19" s="236">
        <v>0</v>
      </c>
      <c r="AB19" s="236">
        <v>-2150</v>
      </c>
    </row>
    <row r="20" spans="1:28" ht="12.75" customHeight="1" x14ac:dyDescent="0.25">
      <c r="A20" s="230" t="str">
        <f t="shared" si="0"/>
        <v>25ID</v>
      </c>
      <c r="B20" s="230">
        <v>283</v>
      </c>
      <c r="C20" s="82" t="s">
        <v>362</v>
      </c>
      <c r="D20" s="233" t="s">
        <v>87</v>
      </c>
      <c r="E20" s="233" t="s">
        <v>160</v>
      </c>
      <c r="F20" s="236">
        <v>-300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1</v>
      </c>
      <c r="M20" s="236">
        <v>-299</v>
      </c>
      <c r="N20" s="236">
        <v>-4</v>
      </c>
      <c r="O20" s="236">
        <v>0</v>
      </c>
      <c r="P20" s="236">
        <v>0</v>
      </c>
      <c r="Q20" s="236">
        <v>0</v>
      </c>
      <c r="R20" s="236">
        <v>0</v>
      </c>
      <c r="S20" s="236">
        <v>0</v>
      </c>
      <c r="T20" s="236">
        <v>0</v>
      </c>
      <c r="U20" s="236">
        <v>0</v>
      </c>
      <c r="V20" s="236">
        <v>0</v>
      </c>
      <c r="W20" s="236">
        <v>0</v>
      </c>
      <c r="X20" s="236">
        <v>0</v>
      </c>
      <c r="Y20" s="236">
        <v>0</v>
      </c>
      <c r="Z20" s="236">
        <v>0</v>
      </c>
      <c r="AA20" s="236">
        <v>0</v>
      </c>
      <c r="AB20" s="236">
        <v>-303</v>
      </c>
    </row>
    <row r="21" spans="1:28" ht="12.75" customHeight="1" x14ac:dyDescent="0.25">
      <c r="A21" s="230" t="str">
        <f t="shared" si="0"/>
        <v>25PG</v>
      </c>
      <c r="B21" s="230">
        <v>283</v>
      </c>
      <c r="C21" s="82" t="s">
        <v>362</v>
      </c>
      <c r="D21" s="233" t="s">
        <v>50</v>
      </c>
      <c r="E21" s="233" t="s">
        <v>159</v>
      </c>
      <c r="F21" s="236">
        <v>2993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1564</v>
      </c>
      <c r="M21" s="236">
        <v>4557</v>
      </c>
      <c r="N21" s="236">
        <v>0</v>
      </c>
      <c r="O21" s="236">
        <v>0</v>
      </c>
      <c r="P21" s="236">
        <v>0</v>
      </c>
      <c r="Q21" s="236">
        <v>0</v>
      </c>
      <c r="R21" s="236">
        <v>0</v>
      </c>
      <c r="S21" s="236">
        <v>0</v>
      </c>
      <c r="T21" s="236">
        <v>0</v>
      </c>
      <c r="U21" s="236">
        <v>0</v>
      </c>
      <c r="V21" s="236">
        <v>0</v>
      </c>
      <c r="W21" s="236">
        <v>0</v>
      </c>
      <c r="X21" s="236">
        <v>0</v>
      </c>
      <c r="Y21" s="236">
        <v>0</v>
      </c>
      <c r="Z21" s="236">
        <v>0</v>
      </c>
      <c r="AA21" s="236">
        <v>0</v>
      </c>
      <c r="AB21" s="236">
        <v>4557</v>
      </c>
    </row>
    <row r="22" spans="1:28" ht="12.75" customHeight="1" x14ac:dyDescent="0.25">
      <c r="A22" s="230" t="str">
        <f t="shared" si="0"/>
        <v>25RE</v>
      </c>
      <c r="B22" s="230">
        <v>282</v>
      </c>
      <c r="C22" s="84" t="s">
        <v>1195</v>
      </c>
      <c r="D22" s="233" t="s">
        <v>127</v>
      </c>
      <c r="E22" s="233" t="s">
        <v>158</v>
      </c>
      <c r="F22" s="236">
        <v>-91</v>
      </c>
      <c r="G22" s="236">
        <v>0</v>
      </c>
      <c r="H22" s="236">
        <v>0</v>
      </c>
      <c r="I22" s="236">
        <v>0</v>
      </c>
      <c r="J22" s="236">
        <v>-30826</v>
      </c>
      <c r="K22" s="236">
        <v>0</v>
      </c>
      <c r="L22" s="236">
        <v>1</v>
      </c>
      <c r="M22" s="236">
        <v>-30916</v>
      </c>
      <c r="N22" s="236">
        <v>11</v>
      </c>
      <c r="O22" s="236">
        <v>0</v>
      </c>
      <c r="P22" s="236">
        <v>0</v>
      </c>
      <c r="Q22" s="236">
        <v>0</v>
      </c>
      <c r="R22" s="236">
        <v>0</v>
      </c>
      <c r="S22" s="236">
        <v>0</v>
      </c>
      <c r="T22" s="236">
        <v>0</v>
      </c>
      <c r="U22" s="236">
        <v>0</v>
      </c>
      <c r="V22" s="236">
        <v>0</v>
      </c>
      <c r="W22" s="236">
        <v>0</v>
      </c>
      <c r="X22" s="236">
        <v>0</v>
      </c>
      <c r="Y22" s="236">
        <v>0</v>
      </c>
      <c r="Z22" s="236">
        <v>0</v>
      </c>
      <c r="AA22" s="236">
        <v>0</v>
      </c>
      <c r="AB22" s="236">
        <v>-30905</v>
      </c>
    </row>
    <row r="23" spans="1:28" ht="12.75" customHeight="1" x14ac:dyDescent="0.25">
      <c r="A23" s="224" t="str">
        <f t="shared" si="0"/>
        <v>25RT</v>
      </c>
      <c r="B23" s="224">
        <v>283</v>
      </c>
      <c r="C23" s="82" t="s">
        <v>362</v>
      </c>
      <c r="D23" s="233" t="s">
        <v>135</v>
      </c>
      <c r="E23" s="233" t="s">
        <v>190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1369</v>
      </c>
      <c r="L23" s="236">
        <v>0</v>
      </c>
      <c r="M23" s="236">
        <v>1369</v>
      </c>
      <c r="N23" s="236">
        <v>0</v>
      </c>
      <c r="O23" s="236">
        <v>0</v>
      </c>
      <c r="P23" s="236">
        <v>0</v>
      </c>
      <c r="Q23" s="236">
        <v>0</v>
      </c>
      <c r="R23" s="236">
        <v>0</v>
      </c>
      <c r="S23" s="236">
        <v>0</v>
      </c>
      <c r="T23" s="236">
        <v>0</v>
      </c>
      <c r="U23" s="236">
        <v>0</v>
      </c>
      <c r="V23" s="236">
        <v>0</v>
      </c>
      <c r="W23" s="236">
        <v>0</v>
      </c>
      <c r="X23" s="236">
        <v>0</v>
      </c>
      <c r="Y23" s="236">
        <v>0</v>
      </c>
      <c r="Z23" s="236">
        <v>0</v>
      </c>
      <c r="AA23" s="236">
        <v>0</v>
      </c>
      <c r="AB23" s="236">
        <v>1369</v>
      </c>
    </row>
    <row r="24" spans="1:28" ht="12.75" customHeight="1" x14ac:dyDescent="0.25">
      <c r="A24" s="230" t="str">
        <f t="shared" si="0"/>
        <v>25SI</v>
      </c>
      <c r="B24" s="230">
        <v>283</v>
      </c>
      <c r="C24" s="82" t="s">
        <v>362</v>
      </c>
      <c r="D24" s="233" t="s">
        <v>157</v>
      </c>
      <c r="E24" s="233" t="s">
        <v>156</v>
      </c>
      <c r="F24" s="236">
        <v>-8455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-8455</v>
      </c>
      <c r="N24" s="236">
        <v>8455</v>
      </c>
      <c r="O24" s="236">
        <v>0</v>
      </c>
      <c r="P24" s="236">
        <v>0</v>
      </c>
      <c r="Q24" s="236">
        <v>0</v>
      </c>
      <c r="R24" s="236">
        <v>0</v>
      </c>
      <c r="S24" s="236">
        <v>0</v>
      </c>
      <c r="T24" s="236">
        <v>0</v>
      </c>
      <c r="U24" s="236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</row>
    <row r="25" spans="1:28" ht="12.75" customHeight="1" x14ac:dyDescent="0.25">
      <c r="A25" s="224" t="str">
        <f t="shared" si="0"/>
        <v>25SR</v>
      </c>
      <c r="B25" s="224">
        <v>283</v>
      </c>
      <c r="C25" s="82" t="s">
        <v>362</v>
      </c>
      <c r="D25" s="233" t="s">
        <v>1210</v>
      </c>
      <c r="E25" s="233" t="s">
        <v>1209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3063</v>
      </c>
      <c r="L25" s="236">
        <v>0</v>
      </c>
      <c r="M25" s="236">
        <v>3063</v>
      </c>
      <c r="N25" s="236">
        <v>0</v>
      </c>
      <c r="O25" s="236">
        <v>0</v>
      </c>
      <c r="P25" s="236">
        <v>0</v>
      </c>
      <c r="Q25" s="236">
        <v>0</v>
      </c>
      <c r="R25" s="236">
        <v>0</v>
      </c>
      <c r="S25" s="236">
        <v>0</v>
      </c>
      <c r="T25" s="236">
        <v>0</v>
      </c>
      <c r="U25" s="236">
        <v>0</v>
      </c>
      <c r="V25" s="236">
        <v>0</v>
      </c>
      <c r="W25" s="236">
        <v>0</v>
      </c>
      <c r="X25" s="236">
        <v>0</v>
      </c>
      <c r="Y25" s="236">
        <v>0</v>
      </c>
      <c r="Z25" s="236">
        <v>0</v>
      </c>
      <c r="AA25" s="236">
        <v>0</v>
      </c>
      <c r="AB25" s="236">
        <v>3063</v>
      </c>
    </row>
    <row r="26" spans="1:28" ht="12.75" customHeight="1" x14ac:dyDescent="0.25">
      <c r="A26" s="230" t="s">
        <v>123</v>
      </c>
      <c r="B26" s="230">
        <v>283</v>
      </c>
      <c r="C26" s="82" t="s">
        <v>362</v>
      </c>
      <c r="D26" s="233" t="s">
        <v>155</v>
      </c>
      <c r="E26" s="233" t="s">
        <v>155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236">
        <v>0</v>
      </c>
      <c r="S26" s="236">
        <v>0</v>
      </c>
      <c r="T26" s="236">
        <v>0</v>
      </c>
      <c r="U26" s="236">
        <v>0</v>
      </c>
      <c r="V26" s="236">
        <v>0</v>
      </c>
      <c r="W26" s="236">
        <v>0</v>
      </c>
      <c r="X26" s="236">
        <v>0</v>
      </c>
      <c r="Y26" s="236">
        <v>0</v>
      </c>
      <c r="Z26" s="236">
        <v>0</v>
      </c>
      <c r="AA26" s="236">
        <v>0</v>
      </c>
      <c r="AB26" s="236">
        <v>0</v>
      </c>
    </row>
    <row r="27" spans="1:28" ht="12.75" customHeight="1" x14ac:dyDescent="0.2">
      <c r="D27" s="233" t="s">
        <v>21</v>
      </c>
      <c r="E27" s="233" t="s">
        <v>21</v>
      </c>
      <c r="F27" s="233" t="s">
        <v>21</v>
      </c>
      <c r="G27" s="233" t="s">
        <v>21</v>
      </c>
      <c r="H27" s="233" t="s">
        <v>21</v>
      </c>
      <c r="I27" s="233" t="s">
        <v>21</v>
      </c>
      <c r="J27" s="233" t="s">
        <v>21</v>
      </c>
      <c r="K27" s="233" t="s">
        <v>21</v>
      </c>
      <c r="L27" s="233" t="s">
        <v>21</v>
      </c>
      <c r="M27" s="233" t="s">
        <v>21</v>
      </c>
      <c r="N27" s="233" t="s">
        <v>21</v>
      </c>
      <c r="O27" s="233" t="s">
        <v>21</v>
      </c>
      <c r="P27" s="233" t="s">
        <v>21</v>
      </c>
      <c r="Q27" s="233" t="s">
        <v>21</v>
      </c>
      <c r="R27" s="233" t="s">
        <v>21</v>
      </c>
      <c r="S27" s="233" t="s">
        <v>21</v>
      </c>
      <c r="T27" s="233" t="s">
        <v>21</v>
      </c>
      <c r="U27" s="233" t="s">
        <v>21</v>
      </c>
      <c r="V27" s="233" t="s">
        <v>21</v>
      </c>
      <c r="W27" s="233" t="s">
        <v>21</v>
      </c>
      <c r="X27" s="233" t="s">
        <v>21</v>
      </c>
      <c r="Y27" s="233" t="s">
        <v>21</v>
      </c>
      <c r="Z27" s="233" t="s">
        <v>21</v>
      </c>
      <c r="AA27" s="233" t="s">
        <v>21</v>
      </c>
      <c r="AB27" s="233" t="s">
        <v>21</v>
      </c>
    </row>
    <row r="28" spans="1:28" ht="12.75" customHeight="1" thickBot="1" x14ac:dyDescent="0.25">
      <c r="D28" s="235" t="s">
        <v>154</v>
      </c>
      <c r="E28" s="235" t="s">
        <v>21</v>
      </c>
      <c r="F28" s="234">
        <f>SUM(F10:F27)</f>
        <v>-139900</v>
      </c>
      <c r="G28" s="234">
        <f t="shared" ref="G28:AB28" si="1">SUM(G10:G27)</f>
        <v>0</v>
      </c>
      <c r="H28" s="234">
        <f t="shared" si="1"/>
        <v>-10298</v>
      </c>
      <c r="I28" s="234">
        <f t="shared" si="1"/>
        <v>3532</v>
      </c>
      <c r="J28" s="234">
        <f t="shared" si="1"/>
        <v>0</v>
      </c>
      <c r="K28" s="234">
        <f t="shared" si="1"/>
        <v>6827</v>
      </c>
      <c r="L28" s="234">
        <f t="shared" si="1"/>
        <v>2106</v>
      </c>
      <c r="M28" s="234">
        <f t="shared" si="1"/>
        <v>-137733</v>
      </c>
      <c r="N28" s="234">
        <f t="shared" si="1"/>
        <v>-47931</v>
      </c>
      <c r="O28" s="234">
        <f t="shared" si="1"/>
        <v>0</v>
      </c>
      <c r="P28" s="234">
        <f t="shared" si="1"/>
        <v>0</v>
      </c>
      <c r="Q28" s="234">
        <f t="shared" si="1"/>
        <v>0</v>
      </c>
      <c r="R28" s="234">
        <f t="shared" si="1"/>
        <v>0</v>
      </c>
      <c r="S28" s="234">
        <f t="shared" si="1"/>
        <v>0</v>
      </c>
      <c r="T28" s="234">
        <f t="shared" si="1"/>
        <v>0</v>
      </c>
      <c r="U28" s="234">
        <f t="shared" si="1"/>
        <v>0</v>
      </c>
      <c r="V28" s="234">
        <f t="shared" si="1"/>
        <v>0</v>
      </c>
      <c r="W28" s="234">
        <f t="shared" si="1"/>
        <v>0</v>
      </c>
      <c r="X28" s="234">
        <f t="shared" si="1"/>
        <v>0</v>
      </c>
      <c r="Y28" s="234">
        <f t="shared" si="1"/>
        <v>0</v>
      </c>
      <c r="Z28" s="234">
        <f t="shared" si="1"/>
        <v>0</v>
      </c>
      <c r="AA28" s="234">
        <f t="shared" si="1"/>
        <v>0</v>
      </c>
      <c r="AB28" s="234">
        <f t="shared" si="1"/>
        <v>-185663</v>
      </c>
    </row>
    <row r="32" spans="1:28" x14ac:dyDescent="0.2">
      <c r="D32" s="233" t="s">
        <v>132</v>
      </c>
      <c r="E32" s="233" t="s">
        <v>192</v>
      </c>
      <c r="F32" s="236">
        <v>24791</v>
      </c>
      <c r="G32" s="236">
        <v>0</v>
      </c>
      <c r="H32" s="236">
        <v>0</v>
      </c>
      <c r="I32" s="236">
        <v>1199</v>
      </c>
      <c r="J32" s="236">
        <v>0</v>
      </c>
      <c r="K32" s="236">
        <v>-1210</v>
      </c>
      <c r="L32" s="236">
        <v>0</v>
      </c>
      <c r="M32" s="236">
        <v>24780</v>
      </c>
      <c r="N32" s="236">
        <v>0</v>
      </c>
      <c r="O32" s="236">
        <v>0</v>
      </c>
      <c r="P32" s="236">
        <v>0</v>
      </c>
      <c r="Q32" s="236">
        <v>0</v>
      </c>
      <c r="R32" s="236">
        <v>0</v>
      </c>
      <c r="S32" s="236">
        <v>0</v>
      </c>
      <c r="T32" s="236">
        <v>0</v>
      </c>
      <c r="U32" s="236">
        <v>0</v>
      </c>
      <c r="V32" s="236">
        <v>0</v>
      </c>
      <c r="W32" s="236">
        <v>0</v>
      </c>
      <c r="X32" s="236">
        <v>0</v>
      </c>
      <c r="Y32" s="236">
        <v>0</v>
      </c>
      <c r="Z32" s="236">
        <v>0</v>
      </c>
      <c r="AA32" s="236">
        <v>0</v>
      </c>
      <c r="AB32" s="236">
        <v>24780</v>
      </c>
    </row>
    <row r="33" spans="5:28" x14ac:dyDescent="0.2">
      <c r="E33" s="238"/>
      <c r="F33" s="238"/>
      <c r="G33" s="238"/>
      <c r="H33" s="238"/>
      <c r="I33" s="238"/>
      <c r="J33" s="238"/>
      <c r="K33" s="238"/>
      <c r="L33" s="238"/>
      <c r="M33" s="239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</row>
    <row r="34" spans="5:28" x14ac:dyDescent="0.2"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</row>
    <row r="35" spans="5:28" ht="13.5" thickBot="1" x14ac:dyDescent="0.25">
      <c r="E35" s="238"/>
      <c r="F35" s="240">
        <f>SUM(F28:F34)</f>
        <v>-115109</v>
      </c>
      <c r="G35" s="240">
        <f t="shared" ref="G35:AB35" si="2">SUM(G28:G34)</f>
        <v>0</v>
      </c>
      <c r="H35" s="240">
        <f t="shared" si="2"/>
        <v>-10298</v>
      </c>
      <c r="I35" s="240">
        <f t="shared" si="2"/>
        <v>4731</v>
      </c>
      <c r="J35" s="240">
        <f t="shared" si="2"/>
        <v>0</v>
      </c>
      <c r="K35" s="240">
        <f t="shared" si="2"/>
        <v>5617</v>
      </c>
      <c r="L35" s="240">
        <f t="shared" si="2"/>
        <v>2106</v>
      </c>
      <c r="M35" s="240">
        <f t="shared" si="2"/>
        <v>-112953</v>
      </c>
      <c r="N35" s="240">
        <f t="shared" si="2"/>
        <v>-47931</v>
      </c>
      <c r="O35" s="240">
        <f t="shared" si="2"/>
        <v>0</v>
      </c>
      <c r="P35" s="240">
        <f t="shared" si="2"/>
        <v>0</v>
      </c>
      <c r="Q35" s="240">
        <f t="shared" si="2"/>
        <v>0</v>
      </c>
      <c r="R35" s="240">
        <f t="shared" si="2"/>
        <v>0</v>
      </c>
      <c r="S35" s="240">
        <f t="shared" si="2"/>
        <v>0</v>
      </c>
      <c r="T35" s="240">
        <f t="shared" si="2"/>
        <v>0</v>
      </c>
      <c r="U35" s="240">
        <f t="shared" si="2"/>
        <v>0</v>
      </c>
      <c r="V35" s="240">
        <f t="shared" si="2"/>
        <v>0</v>
      </c>
      <c r="W35" s="240">
        <f t="shared" si="2"/>
        <v>0</v>
      </c>
      <c r="X35" s="240">
        <f t="shared" si="2"/>
        <v>0</v>
      </c>
      <c r="Y35" s="240">
        <f t="shared" si="2"/>
        <v>0</v>
      </c>
      <c r="Z35" s="240">
        <f t="shared" si="2"/>
        <v>0</v>
      </c>
      <c r="AA35" s="240">
        <f t="shared" si="2"/>
        <v>0</v>
      </c>
      <c r="AB35" s="240">
        <f t="shared" si="2"/>
        <v>-160883</v>
      </c>
    </row>
    <row r="36" spans="5:28" ht="13.5" thickTop="1" x14ac:dyDescent="0.2"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</row>
    <row r="37" spans="5:28" x14ac:dyDescent="0.2">
      <c r="E37" s="241" t="s">
        <v>201</v>
      </c>
      <c r="F37" s="242">
        <f>'FT-12-31-2018 TB'!C119</f>
        <v>-115109</v>
      </c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42">
        <f>'FT-12-31-2018 TB'!F119</f>
        <v>-160884</v>
      </c>
    </row>
    <row r="38" spans="5:28" x14ac:dyDescent="0.2"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</row>
    <row r="39" spans="5:28" x14ac:dyDescent="0.2">
      <c r="E39" s="241" t="s">
        <v>1215</v>
      </c>
      <c r="F39" s="243">
        <f>F35-F37</f>
        <v>0</v>
      </c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43">
        <f>AB35-AB37</f>
        <v>1</v>
      </c>
    </row>
  </sheetData>
  <mergeCells count="1">
    <mergeCell ref="D4:H4"/>
  </mergeCells>
  <pageMargins left="0.7" right="0.7" top="0.75" bottom="0.75" header="0.3" footer="0.3"/>
  <pageSetup orientation="portrait" horizontalDpi="300" verticalDpi="300"/>
  <headerFooter alignWithMargins="0">
    <oddHeader>&amp;L&amp;"Arial,Bold"&amp;10</oddHeader>
    <oddFooter>&amp;L&amp;"Arial,Bold"&amp;10&amp;R&amp;"Arial,Bold"&amp;10&amp;P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5" workbookViewId="0">
      <selection activeCell="C26" sqref="A9:C26"/>
    </sheetView>
  </sheetViews>
  <sheetFormatPr defaultRowHeight="15" x14ac:dyDescent="0.25"/>
  <cols>
    <col min="5" max="5" width="55.5703125" bestFit="1" customWidth="1"/>
    <col min="8" max="8" width="14.140625" customWidth="1"/>
    <col min="10" max="10" width="13.140625" customWidth="1"/>
  </cols>
  <sheetData>
    <row r="1" spans="1:15" ht="30" x14ac:dyDescent="0.4">
      <c r="A1" s="38" t="s">
        <v>211</v>
      </c>
      <c r="B1" s="38"/>
      <c r="C1" s="205"/>
      <c r="D1" s="22"/>
      <c r="E1" s="37"/>
      <c r="F1" s="37"/>
      <c r="G1" s="37"/>
      <c r="H1" s="37"/>
      <c r="I1" s="205"/>
      <c r="J1" s="205"/>
      <c r="K1" s="205"/>
      <c r="L1" s="205"/>
      <c r="M1" s="205"/>
      <c r="N1" s="205"/>
      <c r="O1" s="22"/>
    </row>
    <row r="2" spans="1:15" x14ac:dyDescent="0.25">
      <c r="A2" s="205"/>
      <c r="B2" s="205"/>
      <c r="C2" s="205"/>
      <c r="D2" s="365" t="s">
        <v>210</v>
      </c>
      <c r="E2" s="361"/>
      <c r="F2" s="361"/>
      <c r="G2" s="361"/>
      <c r="H2" s="361"/>
      <c r="I2" s="205" t="s">
        <v>21</v>
      </c>
      <c r="J2" s="205" t="s">
        <v>21</v>
      </c>
      <c r="K2" s="205"/>
      <c r="L2" s="205" t="s">
        <v>21</v>
      </c>
      <c r="M2" s="205"/>
      <c r="N2" s="205"/>
      <c r="O2" s="22"/>
    </row>
    <row r="3" spans="1:15" x14ac:dyDescent="0.25">
      <c r="A3" s="205"/>
      <c r="B3" s="205"/>
      <c r="C3" s="205"/>
      <c r="D3" s="360" t="s">
        <v>188</v>
      </c>
      <c r="E3" s="361"/>
      <c r="F3" s="361"/>
      <c r="G3" s="361"/>
      <c r="H3" s="361"/>
      <c r="I3" s="205" t="s">
        <v>21</v>
      </c>
      <c r="J3" s="205" t="s">
        <v>21</v>
      </c>
      <c r="K3" s="205"/>
      <c r="L3" s="205" t="s">
        <v>21</v>
      </c>
      <c r="M3" s="205"/>
      <c r="N3" s="205"/>
      <c r="O3" s="22"/>
    </row>
    <row r="4" spans="1:15" x14ac:dyDescent="0.25">
      <c r="A4" s="205"/>
      <c r="B4" s="205"/>
      <c r="C4" s="205"/>
      <c r="D4" s="363" t="s">
        <v>1199</v>
      </c>
      <c r="E4" s="364"/>
      <c r="F4" s="364"/>
      <c r="G4" s="364"/>
      <c r="H4" s="364"/>
      <c r="I4" s="205" t="s">
        <v>21</v>
      </c>
      <c r="J4" s="205" t="s">
        <v>21</v>
      </c>
      <c r="K4" s="205"/>
      <c r="L4" s="205" t="s">
        <v>21</v>
      </c>
      <c r="M4" s="205"/>
      <c r="N4" s="205"/>
      <c r="O4" s="22"/>
    </row>
    <row r="5" spans="1:15" x14ac:dyDescent="0.25">
      <c r="A5" s="205"/>
      <c r="B5" s="205"/>
      <c r="C5" s="205"/>
      <c r="D5" s="360" t="s">
        <v>21</v>
      </c>
      <c r="E5" s="361"/>
      <c r="F5" s="361"/>
      <c r="G5" s="361"/>
      <c r="H5" s="361"/>
      <c r="I5" s="205" t="s">
        <v>21</v>
      </c>
      <c r="J5" s="205" t="s">
        <v>21</v>
      </c>
      <c r="K5" s="205"/>
      <c r="L5" s="205" t="s">
        <v>21</v>
      </c>
      <c r="M5" s="205"/>
      <c r="N5" s="205"/>
      <c r="O5" s="22"/>
    </row>
    <row r="6" spans="1:15" x14ac:dyDescent="0.25">
      <c r="A6" s="205"/>
      <c r="B6" s="205"/>
      <c r="C6" s="205"/>
      <c r="D6" s="206"/>
      <c r="E6" s="205"/>
      <c r="F6" s="39" t="s">
        <v>212</v>
      </c>
      <c r="G6" s="362" t="s">
        <v>213</v>
      </c>
      <c r="H6" s="362"/>
      <c r="I6" s="362"/>
      <c r="J6" s="362"/>
      <c r="K6" s="362"/>
      <c r="L6" s="362"/>
      <c r="M6" s="362"/>
      <c r="N6" s="362"/>
      <c r="O6" s="22"/>
    </row>
    <row r="7" spans="1:15" x14ac:dyDescent="0.25">
      <c r="A7" s="205" t="s">
        <v>295</v>
      </c>
      <c r="B7" s="205"/>
      <c r="C7" s="17">
        <v>5.5E-2</v>
      </c>
      <c r="D7" s="205" t="s">
        <v>21</v>
      </c>
      <c r="E7" s="205" t="s">
        <v>199</v>
      </c>
      <c r="F7" s="15">
        <v>0.35</v>
      </c>
      <c r="G7" s="15">
        <v>0.21</v>
      </c>
      <c r="H7" s="205" t="s">
        <v>21</v>
      </c>
      <c r="I7" s="205" t="s">
        <v>21</v>
      </c>
      <c r="J7" s="205" t="s">
        <v>21</v>
      </c>
      <c r="K7" s="205"/>
      <c r="L7" s="15">
        <v>0.21</v>
      </c>
      <c r="M7" s="205"/>
      <c r="N7" s="205"/>
      <c r="O7" s="22"/>
    </row>
    <row r="8" spans="1:15" x14ac:dyDescent="0.25">
      <c r="A8" s="205"/>
      <c r="B8" s="205"/>
      <c r="C8" s="17"/>
      <c r="D8" s="205"/>
      <c r="E8" s="205" t="s">
        <v>200</v>
      </c>
      <c r="F8" s="15">
        <f>(1-F7)*$C$7+F7</f>
        <v>0.38574999999999998</v>
      </c>
      <c r="G8" s="15">
        <f>(1-G7)*$C$7+G7</f>
        <v>0.25345000000000001</v>
      </c>
      <c r="H8" s="205"/>
      <c r="I8" s="205"/>
      <c r="J8" s="205"/>
      <c r="K8" s="205"/>
      <c r="L8" s="15">
        <f>(1-L7)*$C$7+L7</f>
        <v>0.25345000000000001</v>
      </c>
      <c r="M8" s="35"/>
      <c r="N8" s="205"/>
      <c r="O8" s="22"/>
    </row>
    <row r="9" spans="1:15" ht="39" x14ac:dyDescent="0.25">
      <c r="A9" s="205" t="s">
        <v>187</v>
      </c>
      <c r="B9" s="205" t="s">
        <v>1198</v>
      </c>
      <c r="C9" s="207"/>
      <c r="D9" s="12" t="s">
        <v>186</v>
      </c>
      <c r="E9" s="12" t="s">
        <v>185</v>
      </c>
      <c r="F9" s="12" t="s">
        <v>184</v>
      </c>
      <c r="G9" s="12" t="s">
        <v>183</v>
      </c>
      <c r="H9" s="18" t="s">
        <v>193</v>
      </c>
      <c r="I9" s="18" t="s">
        <v>195</v>
      </c>
      <c r="J9" s="18" t="s">
        <v>197</v>
      </c>
      <c r="K9" s="18" t="s">
        <v>203</v>
      </c>
      <c r="L9" s="18" t="s">
        <v>191</v>
      </c>
      <c r="M9" s="18" t="s">
        <v>1197</v>
      </c>
      <c r="N9" s="18" t="s">
        <v>415</v>
      </c>
      <c r="O9" s="22"/>
    </row>
    <row r="10" spans="1:15" x14ac:dyDescent="0.25">
      <c r="A10" s="205" t="str">
        <f t="shared" ref="A10:A25" si="0">LEFT(D10,4)</f>
        <v>25AF</v>
      </c>
      <c r="B10" s="205">
        <v>282</v>
      </c>
      <c r="C10" s="84" t="s">
        <v>1195</v>
      </c>
      <c r="D10" s="207" t="s">
        <v>26</v>
      </c>
      <c r="E10" s="207" t="s">
        <v>171</v>
      </c>
      <c r="F10" s="83">
        <v>0</v>
      </c>
      <c r="G10" s="83">
        <v>0</v>
      </c>
      <c r="H10" s="19"/>
      <c r="I10" s="19">
        <f>G10</f>
        <v>0</v>
      </c>
      <c r="J10" s="19">
        <f t="shared" ref="J10:J26" si="1">G10-H10-I10</f>
        <v>0</v>
      </c>
      <c r="K10" s="19"/>
      <c r="L10" s="19">
        <f t="shared" ref="L10:L26" si="2">SUM(F10:K10)-G10</f>
        <v>0</v>
      </c>
      <c r="M10" s="19">
        <f>VLOOKUP(D10,'Q1 Activity'!$B$10:$D$25,3,0)</f>
        <v>0</v>
      </c>
      <c r="N10" s="29">
        <f t="shared" ref="N10:N26" si="3">SUM(L10:M10)</f>
        <v>0</v>
      </c>
      <c r="O10" s="28"/>
    </row>
    <row r="11" spans="1:15" x14ac:dyDescent="0.25">
      <c r="A11" s="205" t="str">
        <f t="shared" si="0"/>
        <v>25AM</v>
      </c>
      <c r="B11" s="205">
        <v>283</v>
      </c>
      <c r="C11" s="82" t="s">
        <v>362</v>
      </c>
      <c r="D11" s="207" t="s">
        <v>49</v>
      </c>
      <c r="E11" s="207" t="s">
        <v>291</v>
      </c>
      <c r="F11" s="83">
        <v>347</v>
      </c>
      <c r="G11" s="83">
        <v>-119</v>
      </c>
      <c r="H11" s="19"/>
      <c r="I11" s="19"/>
      <c r="J11" s="19">
        <f t="shared" si="1"/>
        <v>-119</v>
      </c>
      <c r="K11" s="19">
        <v>-5</v>
      </c>
      <c r="L11" s="19">
        <f t="shared" si="2"/>
        <v>223</v>
      </c>
      <c r="M11" s="19">
        <f>VLOOKUP(D11,'Q1 Activity'!$B$10:$D$25,3,0)</f>
        <v>0</v>
      </c>
      <c r="N11" s="29">
        <f t="shared" si="3"/>
        <v>223</v>
      </c>
      <c r="O11" s="28"/>
    </row>
    <row r="12" spans="1:15" x14ac:dyDescent="0.25">
      <c r="A12" s="205" t="str">
        <f t="shared" si="0"/>
        <v>25AM</v>
      </c>
      <c r="B12" s="205">
        <v>283</v>
      </c>
      <c r="C12" s="82" t="s">
        <v>362</v>
      </c>
      <c r="D12" s="207" t="s">
        <v>292</v>
      </c>
      <c r="E12" s="207" t="s">
        <v>293</v>
      </c>
      <c r="F12" s="83">
        <v>-92141</v>
      </c>
      <c r="G12" s="83">
        <v>31602</v>
      </c>
      <c r="H12" s="30"/>
      <c r="I12" s="19"/>
      <c r="J12" s="19">
        <f t="shared" si="1"/>
        <v>31602</v>
      </c>
      <c r="K12" s="30"/>
      <c r="L12" s="19">
        <f t="shared" si="2"/>
        <v>-60539</v>
      </c>
      <c r="M12" s="19">
        <f>VLOOKUP(D12,'Q1 Activity'!$B$10:$D$25,3,0)</f>
        <v>-3016</v>
      </c>
      <c r="N12" s="29">
        <f t="shared" si="3"/>
        <v>-63555</v>
      </c>
      <c r="O12" s="28"/>
    </row>
    <row r="13" spans="1:15" x14ac:dyDescent="0.25">
      <c r="A13" s="205" t="str">
        <f t="shared" si="0"/>
        <v>25BD</v>
      </c>
      <c r="B13" s="205">
        <v>283</v>
      </c>
      <c r="C13" s="82" t="s">
        <v>362</v>
      </c>
      <c r="D13" s="207" t="s">
        <v>51</v>
      </c>
      <c r="E13" s="207" t="s">
        <v>170</v>
      </c>
      <c r="F13" s="83">
        <v>706</v>
      </c>
      <c r="G13" s="83">
        <v>-242</v>
      </c>
      <c r="H13" s="30"/>
      <c r="I13" s="19"/>
      <c r="J13" s="19">
        <f t="shared" si="1"/>
        <v>-242</v>
      </c>
      <c r="K13" s="30"/>
      <c r="L13" s="19">
        <f t="shared" si="2"/>
        <v>464</v>
      </c>
      <c r="M13" s="19">
        <f>VLOOKUP(D13,'Q1 Activity'!$B$10:$D$25,3,0)</f>
        <v>258</v>
      </c>
      <c r="N13" s="29">
        <f t="shared" si="3"/>
        <v>722</v>
      </c>
      <c r="O13" s="28"/>
    </row>
    <row r="14" spans="1:15" s="80" customFormat="1" x14ac:dyDescent="0.25">
      <c r="A14" s="224" t="str">
        <f t="shared" si="0"/>
        <v>25BN</v>
      </c>
      <c r="B14" s="224">
        <v>283</v>
      </c>
      <c r="C14" s="82" t="s">
        <v>362</v>
      </c>
      <c r="D14" s="80" t="s">
        <v>169</v>
      </c>
      <c r="E14" s="80" t="s">
        <v>168</v>
      </c>
      <c r="F14" s="225">
        <f>'FT ADIT Before-After'!H76</f>
        <v>3645.181495363976</v>
      </c>
      <c r="G14" s="225">
        <f>'FT ADIT Before-After'!K76</f>
        <v>-1250.1814953639769</v>
      </c>
      <c r="H14" s="226"/>
      <c r="I14" s="226"/>
      <c r="J14" s="226">
        <f t="shared" si="1"/>
        <v>-1250.1814953639769</v>
      </c>
      <c r="K14" s="226"/>
      <c r="L14" s="226">
        <f t="shared" si="2"/>
        <v>2394.9999999999991</v>
      </c>
      <c r="M14" s="226">
        <f>VLOOKUP(D14,'Q1 Activity'!$B$10:$D$25,3,0)</f>
        <v>0</v>
      </c>
      <c r="N14" s="227">
        <f t="shared" si="3"/>
        <v>2394.9999999999991</v>
      </c>
      <c r="O14" s="228"/>
    </row>
    <row r="15" spans="1:15" x14ac:dyDescent="0.25">
      <c r="A15" s="205" t="str">
        <f t="shared" si="0"/>
        <v>25CN</v>
      </c>
      <c r="B15" s="205">
        <v>283</v>
      </c>
      <c r="C15" s="82" t="s">
        <v>362</v>
      </c>
      <c r="D15" s="207" t="s">
        <v>242</v>
      </c>
      <c r="E15" s="207" t="s">
        <v>294</v>
      </c>
      <c r="F15" s="83">
        <v>3169</v>
      </c>
      <c r="G15" s="83">
        <v>-1087</v>
      </c>
      <c r="H15" s="30"/>
      <c r="I15" s="19"/>
      <c r="J15" s="19">
        <f t="shared" si="1"/>
        <v>-1087</v>
      </c>
      <c r="K15" s="19"/>
      <c r="L15" s="19">
        <f t="shared" si="2"/>
        <v>2082</v>
      </c>
      <c r="M15" s="19">
        <f>VLOOKUP(D15,'Q1 Activity'!$B$10:$D$25,3,0)</f>
        <v>492</v>
      </c>
      <c r="N15" s="29">
        <f t="shared" si="3"/>
        <v>2574</v>
      </c>
      <c r="O15" s="28"/>
    </row>
    <row r="16" spans="1:15" x14ac:dyDescent="0.25">
      <c r="A16" s="205" t="str">
        <f t="shared" si="0"/>
        <v>25DP</v>
      </c>
      <c r="B16" s="205">
        <v>282</v>
      </c>
      <c r="C16" s="80" t="s">
        <v>1196</v>
      </c>
      <c r="D16" s="207" t="s">
        <v>167</v>
      </c>
      <c r="E16" s="207" t="s">
        <v>166</v>
      </c>
      <c r="F16" s="83">
        <f>-106772+'FT ADIT Before-After'!Q16+'FT ADIT Before-After'!T16</f>
        <v>-99300.738851098344</v>
      </c>
      <c r="G16" s="83">
        <f>36619+'FT ADIT Before-After'!O16+'FT ADIT Before-After'!R16</f>
        <v>34057</v>
      </c>
      <c r="H16" s="30">
        <f>G16</f>
        <v>34057</v>
      </c>
      <c r="I16" s="19"/>
      <c r="J16" s="19">
        <f t="shared" si="1"/>
        <v>0</v>
      </c>
      <c r="K16" s="19">
        <v>-3</v>
      </c>
      <c r="L16" s="19">
        <f t="shared" si="2"/>
        <v>-65246.738851098344</v>
      </c>
      <c r="M16" s="19">
        <f>VLOOKUP(D16,'Q1 Activity'!$B$10:$D$25,3,0)+'FT ADIT Before-After'!U16</f>
        <v>-44</v>
      </c>
      <c r="N16" s="29">
        <f t="shared" si="3"/>
        <v>-65290.738851098344</v>
      </c>
      <c r="O16" s="28"/>
    </row>
    <row r="17" spans="1:15" x14ac:dyDescent="0.25">
      <c r="A17" s="205" t="str">
        <f t="shared" si="0"/>
        <v>25DP</v>
      </c>
      <c r="B17" s="205">
        <v>282</v>
      </c>
      <c r="C17" s="80" t="s">
        <v>1196</v>
      </c>
      <c r="D17" s="207" t="s">
        <v>165</v>
      </c>
      <c r="E17" s="207" t="s">
        <v>164</v>
      </c>
      <c r="F17" s="83">
        <v>0</v>
      </c>
      <c r="G17" s="83">
        <v>0</v>
      </c>
      <c r="H17" s="30">
        <f t="shared" ref="H17:H19" si="4">G17</f>
        <v>0</v>
      </c>
      <c r="I17" s="19"/>
      <c r="J17" s="19">
        <f t="shared" si="1"/>
        <v>0</v>
      </c>
      <c r="K17" s="19"/>
      <c r="L17" s="19">
        <f t="shared" si="2"/>
        <v>0</v>
      </c>
      <c r="M17" s="19">
        <f>VLOOKUP(D17,'Q1 Activity'!$B$10:$D$25,3,0)</f>
        <v>0</v>
      </c>
      <c r="N17" s="29">
        <f t="shared" si="3"/>
        <v>0</v>
      </c>
      <c r="O17" s="28"/>
    </row>
    <row r="18" spans="1:15" x14ac:dyDescent="0.25">
      <c r="A18" s="205" t="str">
        <f t="shared" si="0"/>
        <v>25DP</v>
      </c>
      <c r="B18" s="205">
        <v>282</v>
      </c>
      <c r="C18" s="84" t="s">
        <v>1195</v>
      </c>
      <c r="D18" s="207" t="s">
        <v>163</v>
      </c>
      <c r="E18" s="207" t="s">
        <v>147</v>
      </c>
      <c r="F18" s="83">
        <f>-9316+'FT ADIT Before-After'!T18</f>
        <v>-16926.261148901656</v>
      </c>
      <c r="G18" s="83">
        <f>3195+'FT ADIT Before-After'!S18+'FT ADIT Before-After'!R18</f>
        <v>5805</v>
      </c>
      <c r="H18" s="30"/>
      <c r="I18" s="19">
        <f>G18</f>
        <v>5805</v>
      </c>
      <c r="J18" s="19">
        <f t="shared" si="1"/>
        <v>0</v>
      </c>
      <c r="K18" s="19"/>
      <c r="L18" s="19">
        <f t="shared" si="2"/>
        <v>-11121.261148901656</v>
      </c>
      <c r="M18" s="19">
        <f>VLOOKUP(D18,'Q1 Activity'!$B$10:$D$25,3,0)</f>
        <v>-1286</v>
      </c>
      <c r="N18" s="29">
        <f t="shared" si="3"/>
        <v>-12407.261148901656</v>
      </c>
      <c r="O18" s="28"/>
    </row>
    <row r="19" spans="1:15" x14ac:dyDescent="0.25">
      <c r="A19" s="205" t="str">
        <f t="shared" si="0"/>
        <v>25DP</v>
      </c>
      <c r="B19" s="205">
        <v>282</v>
      </c>
      <c r="C19" s="80" t="s">
        <v>1196</v>
      </c>
      <c r="D19" s="207" t="s">
        <v>162</v>
      </c>
      <c r="E19" s="207" t="s">
        <v>161</v>
      </c>
      <c r="F19" s="83">
        <v>0</v>
      </c>
      <c r="G19" s="83">
        <v>0</v>
      </c>
      <c r="H19" s="30">
        <f t="shared" si="4"/>
        <v>0</v>
      </c>
      <c r="I19" s="19"/>
      <c r="J19" s="19">
        <f t="shared" si="1"/>
        <v>0</v>
      </c>
      <c r="K19" s="19"/>
      <c r="L19" s="19">
        <f t="shared" si="2"/>
        <v>0</v>
      </c>
      <c r="M19" s="19">
        <f>VLOOKUP(D19,'Q1 Activity'!$B$10:$D$25,3,0)</f>
        <v>0</v>
      </c>
      <c r="N19" s="29">
        <f t="shared" si="3"/>
        <v>0</v>
      </c>
      <c r="O19" s="28"/>
    </row>
    <row r="20" spans="1:15" x14ac:dyDescent="0.25">
      <c r="A20" s="205" t="str">
        <f t="shared" si="0"/>
        <v>25ID</v>
      </c>
      <c r="B20" s="205">
        <v>283</v>
      </c>
      <c r="C20" s="82" t="s">
        <v>362</v>
      </c>
      <c r="D20" s="207" t="s">
        <v>87</v>
      </c>
      <c r="E20" s="207" t="s">
        <v>160</v>
      </c>
      <c r="F20" s="83">
        <v>-456</v>
      </c>
      <c r="G20" s="83">
        <v>156</v>
      </c>
      <c r="H20" s="30"/>
      <c r="I20" s="19"/>
      <c r="J20" s="19">
        <f t="shared" si="1"/>
        <v>156</v>
      </c>
      <c r="K20" s="19"/>
      <c r="L20" s="19">
        <f t="shared" si="2"/>
        <v>-300</v>
      </c>
      <c r="M20" s="19">
        <f>VLOOKUP(D20,'Q1 Activity'!$B$10:$D$25,3,0)</f>
        <v>-1</v>
      </c>
      <c r="N20" s="29">
        <f t="shared" si="3"/>
        <v>-301</v>
      </c>
      <c r="O20" s="28"/>
    </row>
    <row r="21" spans="1:15" x14ac:dyDescent="0.25">
      <c r="A21" s="205" t="str">
        <f t="shared" si="0"/>
        <v>25PG</v>
      </c>
      <c r="B21" s="205">
        <v>283</v>
      </c>
      <c r="C21" s="82" t="s">
        <v>362</v>
      </c>
      <c r="D21" s="207" t="s">
        <v>50</v>
      </c>
      <c r="E21" s="207" t="s">
        <v>159</v>
      </c>
      <c r="F21" s="83">
        <v>4561</v>
      </c>
      <c r="G21" s="83">
        <v>-1564</v>
      </c>
      <c r="H21" s="30"/>
      <c r="I21" s="19"/>
      <c r="J21" s="19">
        <f t="shared" si="1"/>
        <v>-1564</v>
      </c>
      <c r="K21" s="19">
        <v>-4</v>
      </c>
      <c r="L21" s="19">
        <f t="shared" si="2"/>
        <v>2993</v>
      </c>
      <c r="M21" s="19">
        <f>VLOOKUP(D21,'Q1 Activity'!$B$10:$D$25,3,0)</f>
        <v>12997</v>
      </c>
      <c r="N21" s="29">
        <f t="shared" si="3"/>
        <v>15990</v>
      </c>
      <c r="O21" s="28"/>
    </row>
    <row r="22" spans="1:15" x14ac:dyDescent="0.25">
      <c r="A22" s="205" t="str">
        <f t="shared" si="0"/>
        <v>25RE</v>
      </c>
      <c r="B22" s="205">
        <v>282</v>
      </c>
      <c r="C22" s="84" t="s">
        <v>1195</v>
      </c>
      <c r="D22" s="207" t="s">
        <v>127</v>
      </c>
      <c r="E22" s="207" t="s">
        <v>158</v>
      </c>
      <c r="F22" s="83">
        <f>-139+'FT ADIT Before-After'!Q22</f>
        <v>0</v>
      </c>
      <c r="G22" s="83">
        <f>+'FT ADIT Before-After'!P2248</f>
        <v>0</v>
      </c>
      <c r="H22" s="30"/>
      <c r="I22" s="19">
        <f>G22</f>
        <v>0</v>
      </c>
      <c r="J22" s="19">
        <f t="shared" si="1"/>
        <v>0</v>
      </c>
      <c r="K22" s="19"/>
      <c r="L22" s="19">
        <f t="shared" si="2"/>
        <v>0</v>
      </c>
      <c r="M22" s="19">
        <f>VLOOKUP(D22,'Q1 Activity'!$B$10:$D$25,3,0)+'FT ADIT Before-After'!U22</f>
        <v>0</v>
      </c>
      <c r="N22" s="29">
        <f t="shared" si="3"/>
        <v>0</v>
      </c>
      <c r="O22" s="28"/>
    </row>
    <row r="23" spans="1:15" s="80" customFormat="1" x14ac:dyDescent="0.25">
      <c r="A23" s="224" t="str">
        <f t="shared" si="0"/>
        <v>25RT</v>
      </c>
      <c r="B23" s="224">
        <v>283</v>
      </c>
      <c r="C23" s="82" t="s">
        <v>362</v>
      </c>
      <c r="D23" s="80" t="s">
        <v>135</v>
      </c>
      <c r="E23" s="80" t="s">
        <v>190</v>
      </c>
      <c r="F23" s="225">
        <f>'FT ADIT Before-After'!H77</f>
        <v>2083.6131386861312</v>
      </c>
      <c r="G23" s="225">
        <f>'FT ADIT Before-After'!K77</f>
        <v>-714.61313868613115</v>
      </c>
      <c r="H23" s="226"/>
      <c r="I23" s="226"/>
      <c r="J23" s="226">
        <f t="shared" si="1"/>
        <v>-714.61313868613115</v>
      </c>
      <c r="K23" s="226"/>
      <c r="L23" s="226">
        <f t="shared" si="2"/>
        <v>1369</v>
      </c>
      <c r="M23" s="226"/>
      <c r="N23" s="227">
        <f t="shared" si="3"/>
        <v>1369</v>
      </c>
      <c r="O23" s="228"/>
    </row>
    <row r="24" spans="1:15" x14ac:dyDescent="0.25">
      <c r="A24" s="205" t="str">
        <f t="shared" si="0"/>
        <v>25SI</v>
      </c>
      <c r="B24" s="205">
        <v>283</v>
      </c>
      <c r="C24" s="82" t="s">
        <v>362</v>
      </c>
      <c r="D24" s="207" t="s">
        <v>157</v>
      </c>
      <c r="E24" s="207" t="s">
        <v>156</v>
      </c>
      <c r="F24" s="83">
        <v>-12869</v>
      </c>
      <c r="G24" s="83">
        <v>4414</v>
      </c>
      <c r="H24" s="30"/>
      <c r="I24" s="19"/>
      <c r="J24" s="19">
        <f t="shared" si="1"/>
        <v>4414</v>
      </c>
      <c r="K24" s="19"/>
      <c r="L24" s="19">
        <f t="shared" si="2"/>
        <v>-8455</v>
      </c>
      <c r="M24" s="19">
        <f>VLOOKUP(D24,'Q1 Activity'!$B$10:$D$25,3,0)</f>
        <v>0</v>
      </c>
      <c r="N24" s="29">
        <f t="shared" si="3"/>
        <v>-8455</v>
      </c>
      <c r="O24" s="28"/>
    </row>
    <row r="25" spans="1:15" s="80" customFormat="1" x14ac:dyDescent="0.25">
      <c r="A25" s="224" t="str">
        <f t="shared" si="0"/>
        <v>25SR</v>
      </c>
      <c r="B25" s="224">
        <v>283</v>
      </c>
      <c r="C25" s="82" t="s">
        <v>362</v>
      </c>
      <c r="D25" s="80" t="s">
        <v>323</v>
      </c>
      <c r="E25" s="80" t="s">
        <v>296</v>
      </c>
      <c r="F25" s="225">
        <f>'FT ADIT Before-After'!H78</f>
        <v>4661.8751232984805</v>
      </c>
      <c r="G25" s="225">
        <f>'FT ADIT Before-After'!K78</f>
        <v>-1598.8751232984805</v>
      </c>
      <c r="H25" s="226"/>
      <c r="I25" s="226"/>
      <c r="J25" s="226">
        <f t="shared" si="1"/>
        <v>-1598.8751232984805</v>
      </c>
      <c r="K25" s="226"/>
      <c r="L25" s="226">
        <f t="shared" si="2"/>
        <v>3063</v>
      </c>
      <c r="M25" s="226"/>
      <c r="N25" s="227">
        <f t="shared" si="3"/>
        <v>3063</v>
      </c>
      <c r="O25" s="228"/>
    </row>
    <row r="26" spans="1:15" x14ac:dyDescent="0.25">
      <c r="A26" s="205" t="s">
        <v>123</v>
      </c>
      <c r="B26" s="205">
        <v>283</v>
      </c>
      <c r="C26" s="82" t="s">
        <v>362</v>
      </c>
      <c r="D26" s="207" t="s">
        <v>155</v>
      </c>
      <c r="E26" s="207" t="s">
        <v>155</v>
      </c>
      <c r="F26" s="83">
        <v>0</v>
      </c>
      <c r="G26" s="83">
        <v>0</v>
      </c>
      <c r="H26" s="19"/>
      <c r="I26" s="19"/>
      <c r="J26" s="19">
        <f t="shared" si="1"/>
        <v>0</v>
      </c>
      <c r="K26" s="19"/>
      <c r="L26" s="19">
        <f t="shared" si="2"/>
        <v>0</v>
      </c>
      <c r="M26" s="19">
        <f>VLOOKUP(D26,'Q1 Activity'!$B$10:$D$25,3,0)</f>
        <v>0</v>
      </c>
      <c r="N26" s="29">
        <f t="shared" si="3"/>
        <v>0</v>
      </c>
      <c r="O26" s="28"/>
    </row>
    <row r="27" spans="1:15" x14ac:dyDescent="0.25">
      <c r="A27" s="205"/>
      <c r="B27" s="205"/>
      <c r="C27" s="205"/>
      <c r="D27" s="205" t="s">
        <v>21</v>
      </c>
      <c r="E27" s="205" t="s">
        <v>21</v>
      </c>
      <c r="F27" s="205" t="s">
        <v>21</v>
      </c>
      <c r="G27" s="205" t="s">
        <v>21</v>
      </c>
      <c r="H27" s="205" t="s">
        <v>21</v>
      </c>
      <c r="I27" s="205" t="s">
        <v>21</v>
      </c>
      <c r="J27" s="205" t="s">
        <v>21</v>
      </c>
      <c r="K27" s="205"/>
      <c r="L27" s="205" t="s">
        <v>21</v>
      </c>
      <c r="M27" s="205"/>
      <c r="N27" s="205"/>
      <c r="O27" s="22"/>
    </row>
    <row r="28" spans="1:15" ht="15.75" thickBot="1" x14ac:dyDescent="0.3">
      <c r="A28" s="205"/>
      <c r="B28" s="205"/>
      <c r="C28" s="205"/>
      <c r="D28" s="20" t="s">
        <v>154</v>
      </c>
      <c r="E28" s="20" t="s">
        <v>21</v>
      </c>
      <c r="F28" s="21">
        <f t="shared" ref="F28:N28" si="5">SUM(F10:F27)</f>
        <v>-202519.3302426514</v>
      </c>
      <c r="G28" s="21">
        <f t="shared" si="5"/>
        <v>69458.330242651413</v>
      </c>
      <c r="H28" s="21">
        <f t="shared" si="5"/>
        <v>34057</v>
      </c>
      <c r="I28" s="21">
        <f t="shared" si="5"/>
        <v>5805</v>
      </c>
      <c r="J28" s="21">
        <f t="shared" si="5"/>
        <v>29596.330242651413</v>
      </c>
      <c r="K28" s="21">
        <f t="shared" si="5"/>
        <v>-12</v>
      </c>
      <c r="L28" s="21">
        <f t="shared" si="5"/>
        <v>-133073</v>
      </c>
      <c r="M28" s="21">
        <f t="shared" si="5"/>
        <v>9400</v>
      </c>
      <c r="N28" s="21">
        <f t="shared" si="5"/>
        <v>-123673</v>
      </c>
      <c r="O28" s="22"/>
    </row>
    <row r="29" spans="1:15" ht="15.75" thickTop="1" x14ac:dyDescent="0.25">
      <c r="A29" s="205"/>
      <c r="B29" s="205"/>
      <c r="C29" s="205"/>
      <c r="D29" s="205"/>
      <c r="E29" s="205"/>
      <c r="F29" s="36">
        <f>F28-'FT-OTP Deferreds'!X25</f>
        <v>10391.669757348602</v>
      </c>
      <c r="G29" s="36">
        <f>G28-'FT-OTP Deferreds'!J25-'FT-OTP Deferreds'!L25-'FT-OTP Deferreds'!N25</f>
        <v>-3563.6697573485872</v>
      </c>
      <c r="H29" s="205"/>
      <c r="I29" s="205"/>
      <c r="J29" s="205"/>
      <c r="K29" s="205"/>
      <c r="L29" s="205"/>
      <c r="M29" s="205"/>
      <c r="N29" s="205"/>
      <c r="O29" s="22"/>
    </row>
    <row r="30" spans="1:15" x14ac:dyDescent="0.25">
      <c r="A30" s="205"/>
      <c r="B30" s="205"/>
      <c r="C30" s="24"/>
      <c r="D30" s="205"/>
      <c r="E30" s="205" t="s">
        <v>194</v>
      </c>
      <c r="F30" s="205"/>
      <c r="G30" s="205"/>
      <c r="H30" s="19">
        <f>(H28/(1-$G$8)-H28)</f>
        <v>11562.181568548651</v>
      </c>
      <c r="I30" s="205"/>
      <c r="J30" s="205"/>
      <c r="K30" s="205"/>
      <c r="L30" s="19">
        <f>SUM(F30:J30)-G30</f>
        <v>11562.181568548651</v>
      </c>
      <c r="M30" s="205"/>
      <c r="N30" s="36">
        <f>SUM(L30:M30)</f>
        <v>11562.181568548651</v>
      </c>
      <c r="O30" s="22"/>
    </row>
    <row r="31" spans="1:15" x14ac:dyDescent="0.25">
      <c r="A31" s="22"/>
      <c r="B31" s="22"/>
      <c r="C31" s="22"/>
      <c r="D31" s="22"/>
      <c r="E31" s="22" t="s">
        <v>196</v>
      </c>
      <c r="F31" s="22"/>
      <c r="G31" s="22"/>
      <c r="H31" s="22"/>
      <c r="I31" s="19">
        <f>(I28/(1-$G$8)-I28)</f>
        <v>1970.7685352622057</v>
      </c>
      <c r="J31" s="22"/>
      <c r="K31" s="22"/>
      <c r="L31" s="19">
        <f>SUM(F31:J31)-G31</f>
        <v>1970.7685352622057</v>
      </c>
      <c r="M31" s="22"/>
      <c r="N31" s="36">
        <f>SUM(L31:M31)</f>
        <v>1970.7685352622057</v>
      </c>
      <c r="O31" s="22"/>
    </row>
    <row r="32" spans="1:15" x14ac:dyDescent="0.25">
      <c r="A32" s="22"/>
      <c r="B32" s="22"/>
      <c r="C32" s="22"/>
      <c r="D32" s="22"/>
      <c r="E32" s="22" t="s">
        <v>198</v>
      </c>
      <c r="F32" s="22"/>
      <c r="G32" s="22"/>
      <c r="H32" s="22"/>
      <c r="I32" s="22"/>
      <c r="J32" s="19">
        <f>(J28/(1-$G$8)-J28)</f>
        <v>10047.806442970999</v>
      </c>
      <c r="K32" s="19"/>
      <c r="L32" s="19">
        <f>SUM(F32:J32)-G32</f>
        <v>10047.806442970999</v>
      </c>
      <c r="M32" s="19"/>
      <c r="N32" s="36">
        <f>SUM(L32:M32)</f>
        <v>10047.806442970999</v>
      </c>
      <c r="O32" s="22"/>
    </row>
    <row r="33" spans="1:16" x14ac:dyDescent="0.25">
      <c r="A33" s="22"/>
      <c r="B33" s="22"/>
      <c r="C33" s="22"/>
      <c r="D33" s="22"/>
      <c r="E33" s="22" t="s">
        <v>236</v>
      </c>
      <c r="F33" s="22"/>
      <c r="G33" s="22"/>
      <c r="H33" s="22"/>
      <c r="I33" s="22"/>
      <c r="J33" s="19"/>
      <c r="K33" s="19"/>
      <c r="L33" s="19">
        <f>SUM(F33:J33)-G33</f>
        <v>0</v>
      </c>
      <c r="M33" s="22"/>
      <c r="N33" s="36">
        <f>SUM(L33:M33)</f>
        <v>0</v>
      </c>
      <c r="O33" s="22"/>
    </row>
    <row r="34" spans="1:16" x14ac:dyDescent="0.25">
      <c r="A34" s="22"/>
      <c r="B34" s="22"/>
      <c r="C34" s="22"/>
      <c r="D34" s="22"/>
      <c r="E34" s="22"/>
      <c r="F34" s="25"/>
      <c r="G34" s="25"/>
      <c r="H34" s="25"/>
      <c r="I34" s="25"/>
      <c r="J34" s="25"/>
      <c r="K34" s="25"/>
      <c r="L34" s="25"/>
      <c r="M34" s="25"/>
      <c r="N34" s="25"/>
      <c r="O34" s="22"/>
    </row>
    <row r="35" spans="1:16" x14ac:dyDescent="0.25">
      <c r="A35" s="205" t="s">
        <v>132</v>
      </c>
      <c r="B35" s="205"/>
      <c r="C35" s="24"/>
      <c r="D35" s="205" t="s">
        <v>132</v>
      </c>
      <c r="E35" s="205" t="s">
        <v>192</v>
      </c>
      <c r="F35" s="22"/>
      <c r="G35" s="22"/>
      <c r="H35" s="26">
        <f>SUM(H30:H34)</f>
        <v>11562.181568548651</v>
      </c>
      <c r="I35" s="26">
        <f>SUM(I30:I34)</f>
        <v>1970.7685352622057</v>
      </c>
      <c r="J35" s="26">
        <f>SUM(J30:J34)</f>
        <v>10047.806442970999</v>
      </c>
      <c r="K35" s="26"/>
      <c r="L35" s="26">
        <f>SUM(L30:L34)</f>
        <v>23580.756546781857</v>
      </c>
      <c r="M35" s="26">
        <f t="shared" ref="M35" si="6">SUM(M30:M34)</f>
        <v>0</v>
      </c>
      <c r="N35" s="26">
        <f>SUM(N30:N34)</f>
        <v>23580.756546781857</v>
      </c>
      <c r="O35" s="22"/>
    </row>
    <row r="36" spans="1:1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6" ht="15.75" thickBot="1" x14ac:dyDescent="0.3">
      <c r="A37" s="22"/>
      <c r="B37" s="22"/>
      <c r="C37" s="22"/>
      <c r="D37" s="20" t="s">
        <v>221</v>
      </c>
      <c r="E37" s="22"/>
      <c r="F37" s="22"/>
      <c r="G37" s="22"/>
      <c r="H37" s="31">
        <f>H28+H35</f>
        <v>45619.181568548651</v>
      </c>
      <c r="I37" s="31">
        <f>I28+I35</f>
        <v>7775.7685352622057</v>
      </c>
      <c r="J37" s="31">
        <f>J28+J35</f>
        <v>39644.136685622412</v>
      </c>
      <c r="K37" s="22"/>
      <c r="L37" s="31">
        <f>L28+L35</f>
        <v>-109492.24345321814</v>
      </c>
      <c r="M37" s="31">
        <f>M28+M35</f>
        <v>9400</v>
      </c>
      <c r="N37" s="31">
        <f>N28+N35</f>
        <v>-100092.24345321814</v>
      </c>
      <c r="O37" s="22"/>
    </row>
    <row r="38" spans="1:16" ht="15.75" thickTop="1" x14ac:dyDescent="0.25">
      <c r="A38" s="22"/>
      <c r="B38" s="22"/>
      <c r="C38" s="22"/>
      <c r="D38" s="22"/>
      <c r="E38" s="22"/>
      <c r="F38" s="22"/>
      <c r="G38" s="22"/>
      <c r="H38" s="43" t="s">
        <v>214</v>
      </c>
      <c r="I38" s="43" t="s">
        <v>215</v>
      </c>
      <c r="J38" s="43" t="s">
        <v>216</v>
      </c>
      <c r="K38" s="22"/>
      <c r="L38" s="22"/>
      <c r="M38" s="22"/>
      <c r="N38" s="22"/>
      <c r="O38" s="22"/>
    </row>
    <row r="39" spans="1:16" x14ac:dyDescent="0.25">
      <c r="A39" s="22"/>
      <c r="B39" s="22"/>
      <c r="C39" s="22"/>
      <c r="D39" s="47" t="s">
        <v>239</v>
      </c>
      <c r="E39" s="22"/>
      <c r="F39" s="22"/>
      <c r="G39" s="22"/>
      <c r="H39" s="43"/>
      <c r="I39" s="43"/>
      <c r="J39" s="43"/>
      <c r="K39" s="22"/>
      <c r="L39" s="22"/>
      <c r="M39" s="22"/>
      <c r="N39" s="22"/>
      <c r="O39" s="22"/>
    </row>
    <row r="40" spans="1:16" x14ac:dyDescent="0.25">
      <c r="A40" s="22"/>
      <c r="B40" s="22"/>
      <c r="C40" s="22"/>
      <c r="D40" s="22"/>
      <c r="E40" s="44" t="s">
        <v>232</v>
      </c>
      <c r="F40" s="22"/>
      <c r="G40" s="22"/>
      <c r="H40" s="19">
        <f>-H28</f>
        <v>-34057</v>
      </c>
      <c r="I40" s="43"/>
      <c r="J40" s="43"/>
      <c r="K40" s="22"/>
      <c r="L40" s="22"/>
      <c r="M40" s="22"/>
      <c r="N40" s="26">
        <f>SUM(H40:M40)</f>
        <v>-34057</v>
      </c>
      <c r="O40" s="22"/>
    </row>
    <row r="41" spans="1:16" x14ac:dyDescent="0.25">
      <c r="A41" s="22"/>
      <c r="B41" s="22"/>
      <c r="C41" s="22"/>
      <c r="D41" s="22"/>
      <c r="E41" s="44" t="s">
        <v>233</v>
      </c>
      <c r="F41" s="22"/>
      <c r="G41" s="22"/>
      <c r="H41" s="19">
        <f>-I28</f>
        <v>-5805</v>
      </c>
      <c r="I41" s="43"/>
      <c r="J41" s="43"/>
      <c r="K41" s="22"/>
      <c r="L41" s="22"/>
      <c r="M41" s="22"/>
      <c r="N41" s="26">
        <f t="shared" ref="N41:N42" si="7">SUM(H41:M41)</f>
        <v>-5805</v>
      </c>
      <c r="O41" s="22"/>
    </row>
    <row r="42" spans="1:16" x14ac:dyDescent="0.25">
      <c r="A42" s="22"/>
      <c r="B42" s="22"/>
      <c r="C42" s="22"/>
      <c r="D42" s="22"/>
      <c r="E42" s="44" t="s">
        <v>234</v>
      </c>
      <c r="F42" s="22"/>
      <c r="G42" s="22"/>
      <c r="H42" s="19">
        <f>-J28</f>
        <v>-29596.330242651413</v>
      </c>
      <c r="I42" s="43"/>
      <c r="J42" s="49"/>
      <c r="K42" s="22"/>
      <c r="L42" s="22"/>
      <c r="M42" s="22"/>
      <c r="N42" s="26">
        <f t="shared" si="7"/>
        <v>-29596.330242651413</v>
      </c>
      <c r="O42" s="22"/>
    </row>
    <row r="43" spans="1:16" x14ac:dyDescent="0.25">
      <c r="A43" s="22"/>
      <c r="B43" s="22"/>
      <c r="C43" s="22"/>
      <c r="D43" s="22"/>
      <c r="E43" s="48"/>
      <c r="F43" s="22"/>
      <c r="G43" s="22"/>
      <c r="H43" s="45"/>
      <c r="I43" s="43"/>
      <c r="J43" s="43"/>
      <c r="K43" s="22"/>
      <c r="L43" s="22"/>
      <c r="M43" s="22"/>
      <c r="N43" s="45"/>
      <c r="O43" s="22"/>
    </row>
    <row r="44" spans="1:16" ht="15.75" thickBot="1" x14ac:dyDescent="0.3">
      <c r="A44" s="22"/>
      <c r="B44" s="22"/>
      <c r="C44" s="22"/>
      <c r="D44" s="22"/>
      <c r="E44" s="44" t="s">
        <v>235</v>
      </c>
      <c r="F44" s="22"/>
      <c r="G44" s="22"/>
      <c r="H44" s="46">
        <f>SUM(H40:H43)</f>
        <v>-69458.330242651413</v>
      </c>
      <c r="I44" s="43"/>
      <c r="J44" s="43"/>
      <c r="K44" s="22"/>
      <c r="L44" s="22"/>
      <c r="M44" s="22"/>
      <c r="N44" s="46">
        <f>SUM(N40:N43)</f>
        <v>-69458.330242651413</v>
      </c>
      <c r="O44" s="22"/>
      <c r="P44" s="73">
        <f>N44-N35</f>
        <v>-93039.086789433262</v>
      </c>
    </row>
    <row r="45" spans="1:16" ht="15.75" thickTop="1" x14ac:dyDescent="0.25">
      <c r="A45" s="22"/>
      <c r="B45" s="22"/>
      <c r="C45" s="22"/>
      <c r="D45" s="22"/>
      <c r="E45" s="44"/>
      <c r="F45" s="22"/>
      <c r="G45" s="22"/>
      <c r="H45" s="50"/>
      <c r="I45" s="43"/>
      <c r="J45" s="43"/>
      <c r="K45" s="22"/>
      <c r="L45" s="22"/>
      <c r="M45" s="22"/>
      <c r="N45" s="22"/>
      <c r="O45" s="22"/>
    </row>
    <row r="46" spans="1:16" x14ac:dyDescent="0.25">
      <c r="A46" s="22"/>
      <c r="B46" s="22"/>
      <c r="C46" s="51"/>
      <c r="D46" s="51"/>
      <c r="E46" s="52"/>
      <c r="F46" s="51"/>
      <c r="G46" s="51"/>
      <c r="H46" s="53"/>
      <c r="I46" s="54"/>
      <c r="J46" s="54"/>
      <c r="K46" s="51"/>
      <c r="L46" s="51"/>
      <c r="M46" s="51"/>
      <c r="N46" s="51"/>
      <c r="O46" s="51"/>
    </row>
    <row r="47" spans="1:16" x14ac:dyDescent="0.25">
      <c r="A47" s="22"/>
      <c r="B47" s="22"/>
      <c r="C47" s="22"/>
      <c r="D47" s="22"/>
      <c r="E47" s="44"/>
      <c r="F47" s="22"/>
      <c r="G47" s="22"/>
      <c r="H47" s="50"/>
      <c r="I47" s="43"/>
      <c r="J47" s="43"/>
      <c r="K47" s="22"/>
      <c r="L47" s="22"/>
      <c r="M47" s="22"/>
      <c r="N47" s="22"/>
      <c r="O47" s="22"/>
    </row>
    <row r="48" spans="1:16" x14ac:dyDescent="0.25">
      <c r="A48" s="22"/>
      <c r="B48" s="22"/>
      <c r="C48" s="22"/>
      <c r="D48" s="22"/>
      <c r="E48" s="22"/>
      <c r="F48" s="22"/>
      <c r="G48" s="22"/>
      <c r="H48" s="43"/>
      <c r="I48" s="43"/>
      <c r="J48" s="43"/>
      <c r="K48" s="22"/>
      <c r="L48" s="22"/>
      <c r="M48" s="22"/>
      <c r="N48" s="22"/>
      <c r="O48" s="22"/>
    </row>
    <row r="49" spans="1:15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41" t="s">
        <v>363</v>
      </c>
      <c r="K49" s="41" t="s">
        <v>201</v>
      </c>
      <c r="L49" s="26">
        <f>'FT TB'!C116</f>
        <v>-115109</v>
      </c>
      <c r="M49" s="22"/>
      <c r="N49" s="26">
        <f>'FT TB'!F116</f>
        <v>-100092</v>
      </c>
      <c r="O49" s="22"/>
    </row>
    <row r="50" spans="1:15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5"/>
      <c r="M50" s="22"/>
      <c r="N50" s="25"/>
      <c r="O50" s="22"/>
    </row>
    <row r="51" spans="1:15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 t="s">
        <v>202</v>
      </c>
      <c r="K51" s="22"/>
      <c r="L51" s="26">
        <f>L37-L49</f>
        <v>5616.756546781864</v>
      </c>
      <c r="M51" s="22"/>
      <c r="N51" s="26">
        <f>N37-N49</f>
        <v>-0.24345321813598275</v>
      </c>
      <c r="O51" s="22"/>
    </row>
    <row r="52" spans="1:1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x14ac:dyDescent="0.25">
      <c r="A54" s="22"/>
      <c r="B54" s="22"/>
      <c r="C54" s="22"/>
      <c r="D54" s="205" t="s">
        <v>132</v>
      </c>
      <c r="E54" s="205" t="s">
        <v>192</v>
      </c>
      <c r="F54" s="22"/>
      <c r="G54" s="22"/>
      <c r="H54" s="22"/>
      <c r="I54" s="22"/>
      <c r="J54" s="22"/>
      <c r="K54" s="22"/>
      <c r="L54" s="26">
        <f>L35</f>
        <v>23580.756546781857</v>
      </c>
      <c r="M54" s="22"/>
      <c r="N54" s="26">
        <f>N35</f>
        <v>23580.756546781857</v>
      </c>
      <c r="O54" s="22"/>
    </row>
    <row r="55" spans="1:15" x14ac:dyDescent="0.25">
      <c r="A55" s="22"/>
      <c r="B55" s="22"/>
      <c r="C55" s="22"/>
      <c r="D55" s="205" t="s">
        <v>132</v>
      </c>
      <c r="E55" s="22" t="s">
        <v>201</v>
      </c>
      <c r="F55" s="22"/>
      <c r="G55" s="22"/>
      <c r="H55" s="22"/>
      <c r="I55" s="22"/>
      <c r="J55" s="22"/>
      <c r="K55" s="22"/>
      <c r="L55" s="27">
        <f>'FT TB'!C114</f>
        <v>24791</v>
      </c>
      <c r="M55" s="22"/>
      <c r="N55" s="27">
        <f>'FT TB'!F114</f>
        <v>23581</v>
      </c>
      <c r="O55" s="22"/>
    </row>
    <row r="56" spans="1:15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5"/>
      <c r="M56" s="22"/>
      <c r="N56" s="25"/>
      <c r="O56" s="22"/>
    </row>
    <row r="57" spans="1:15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 t="s">
        <v>202</v>
      </c>
      <c r="K57" s="22"/>
      <c r="L57" s="27">
        <f>L54-L55</f>
        <v>-1210.2434532181433</v>
      </c>
      <c r="M57" s="22"/>
      <c r="N57" s="27">
        <f>N54-N55</f>
        <v>-0.24345321814325871</v>
      </c>
      <c r="O57" s="22"/>
    </row>
    <row r="58" spans="1:15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3" t="s">
        <v>217</v>
      </c>
      <c r="M58" s="22"/>
      <c r="N58" s="22"/>
      <c r="O58" s="22"/>
    </row>
    <row r="59" spans="1:1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42"/>
      <c r="M59" s="22"/>
      <c r="N59" s="22"/>
      <c r="O59" s="22"/>
    </row>
    <row r="60" spans="1:15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x14ac:dyDescent="0.25">
      <c r="A61" s="22"/>
      <c r="B61" s="22"/>
      <c r="C61" s="22"/>
      <c r="D61" s="22" t="s">
        <v>205</v>
      </c>
      <c r="E61" s="22" t="s">
        <v>218</v>
      </c>
      <c r="F61" s="22"/>
      <c r="G61" s="22"/>
      <c r="H61" s="22"/>
      <c r="I61" s="22"/>
      <c r="J61" s="22"/>
      <c r="K61" s="43" t="s">
        <v>214</v>
      </c>
      <c r="L61" s="26">
        <f>-H37</f>
        <v>-45619.181568548651</v>
      </c>
      <c r="M61" s="22"/>
      <c r="N61" s="26">
        <f>SUM(L61:M61)</f>
        <v>-45619.181568548651</v>
      </c>
      <c r="O61" s="27">
        <f>N61-'Reg Liab'!F6</f>
        <v>7711.8184314513492</v>
      </c>
    </row>
    <row r="62" spans="1:15" x14ac:dyDescent="0.25">
      <c r="A62" s="22"/>
      <c r="B62" s="22"/>
      <c r="C62" s="22"/>
      <c r="D62" s="22" t="s">
        <v>206</v>
      </c>
      <c r="E62" s="22" t="s">
        <v>219</v>
      </c>
      <c r="F62" s="22"/>
      <c r="G62" s="22"/>
      <c r="H62" s="22"/>
      <c r="I62" s="22"/>
      <c r="J62" s="22"/>
      <c r="K62" s="229" t="s">
        <v>1208</v>
      </c>
      <c r="L62" s="28">
        <f>-I37-J37</f>
        <v>-47419.905220884619</v>
      </c>
      <c r="M62" s="22"/>
      <c r="N62" s="26">
        <f>SUM(L62:M62)</f>
        <v>-47419.905220884619</v>
      </c>
      <c r="O62" s="28">
        <f>N62-'Reg Liab'!D6-'FT ADIT Before-After'!N62</f>
        <v>-7710.9052208846188</v>
      </c>
    </row>
    <row r="63" spans="1:15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5"/>
      <c r="M63" s="22"/>
      <c r="N63" s="25"/>
      <c r="O63" s="22"/>
    </row>
    <row r="64" spans="1:15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6">
        <f>SUM(L61:L63)</f>
        <v>-93039.086789433262</v>
      </c>
      <c r="M64" s="22"/>
      <c r="N64" s="26">
        <f>SUM(N61:N63)</f>
        <v>-93039.086789433262</v>
      </c>
      <c r="O64" s="26">
        <f>N64-'FT TB'!F142</f>
        <v>0.91321056673768908</v>
      </c>
    </row>
    <row r="65" spans="1:1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8"/>
      <c r="O65" s="22"/>
    </row>
    <row r="66" spans="1:15" x14ac:dyDescent="0.25">
      <c r="A66" s="22"/>
      <c r="B66" s="22"/>
      <c r="C66" s="22"/>
      <c r="D66" s="22"/>
      <c r="E66" s="22" t="s">
        <v>237</v>
      </c>
      <c r="F66" s="22"/>
      <c r="G66" s="22"/>
      <c r="H66" s="22"/>
      <c r="I66" s="22"/>
      <c r="J66" s="22"/>
      <c r="K66" s="22"/>
      <c r="L66" s="26">
        <f>-I37</f>
        <v>-7775.7685352622057</v>
      </c>
      <c r="M66" s="22"/>
      <c r="N66" s="26">
        <f>SUM(L66:L66)</f>
        <v>-7775.7685352622057</v>
      </c>
      <c r="O66" s="28"/>
    </row>
    <row r="67" spans="1:15" x14ac:dyDescent="0.25">
      <c r="A67" s="22"/>
      <c r="B67" s="22"/>
      <c r="C67" s="22"/>
      <c r="D67" s="22"/>
      <c r="E67" s="22" t="s">
        <v>238</v>
      </c>
      <c r="F67" s="22"/>
      <c r="G67" s="22"/>
      <c r="H67" s="22"/>
      <c r="I67" s="22"/>
      <c r="J67" s="22"/>
      <c r="K67" s="22"/>
      <c r="L67" s="26">
        <f>-J37</f>
        <v>-39644.136685622412</v>
      </c>
      <c r="M67" s="22"/>
      <c r="N67" s="26">
        <f>SUM(L67:M67)</f>
        <v>-39644.136685622412</v>
      </c>
      <c r="O67" s="28"/>
    </row>
    <row r="68" spans="1:15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5"/>
      <c r="M68" s="22"/>
      <c r="N68" s="25"/>
      <c r="O68" s="22"/>
    </row>
    <row r="69" spans="1:15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6">
        <f>SUM(L66:L68)</f>
        <v>-47419.905220884619</v>
      </c>
      <c r="M69" s="22"/>
      <c r="N69" s="26">
        <f>SUM(N66:N68)</f>
        <v>-47419.905220884619</v>
      </c>
      <c r="O69" s="27">
        <f>O62</f>
        <v>-7710.9052208846188</v>
      </c>
    </row>
    <row r="70" spans="1:15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</sheetData>
  <autoFilter ref="A9:N33"/>
  <mergeCells count="5">
    <mergeCell ref="D2:H2"/>
    <mergeCell ref="D3:H3"/>
    <mergeCell ref="D4:H4"/>
    <mergeCell ref="D5:H5"/>
    <mergeCell ref="G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"/>
  <sheetViews>
    <sheetView topLeftCell="D1" workbookViewId="0">
      <selection activeCell="E9" sqref="E9"/>
    </sheetView>
  </sheetViews>
  <sheetFormatPr defaultRowHeight="12.75" x14ac:dyDescent="0.2"/>
  <cols>
    <col min="1" max="3" width="9.140625" style="22"/>
    <col min="4" max="4" width="20.7109375" style="22" bestFit="1" customWidth="1"/>
    <col min="5" max="5" width="49.140625" style="22" bestFit="1" customWidth="1"/>
    <col min="6" max="6" width="12" style="22" bestFit="1" customWidth="1"/>
    <col min="7" max="7" width="10.85546875" style="22" bestFit="1" customWidth="1"/>
    <col min="8" max="8" width="12.85546875" style="22" customWidth="1"/>
    <col min="9" max="9" width="13.85546875" style="22" customWidth="1"/>
    <col min="10" max="10" width="15.28515625" style="22" customWidth="1"/>
    <col min="11" max="11" width="13.42578125" style="22" customWidth="1"/>
    <col min="12" max="12" width="15" style="22" bestFit="1" customWidth="1"/>
    <col min="13" max="22" width="12.7109375" style="22" customWidth="1"/>
    <col min="23" max="23" width="13.5703125" style="22" bestFit="1" customWidth="1"/>
    <col min="24" max="24" width="18" style="22" bestFit="1" customWidth="1"/>
    <col min="25" max="25" width="14.5703125" style="22" customWidth="1"/>
    <col min="26" max="26" width="12.85546875" style="22" bestFit="1" customWidth="1"/>
    <col min="27" max="27" width="9.140625" style="22" customWidth="1"/>
    <col min="28" max="16384" width="9.140625" style="22"/>
  </cols>
  <sheetData>
    <row r="1" spans="1:26" ht="30" x14ac:dyDescent="0.4">
      <c r="A1" s="38" t="s">
        <v>211</v>
      </c>
      <c r="B1" s="38"/>
      <c r="C1" s="13"/>
      <c r="E1" s="37"/>
      <c r="F1" s="37"/>
      <c r="G1" s="37"/>
      <c r="H1" s="37"/>
      <c r="I1" s="13"/>
      <c r="J1" s="13"/>
      <c r="K1" s="13"/>
      <c r="L1" s="13"/>
      <c r="M1" s="13"/>
      <c r="N1" s="86"/>
      <c r="O1" s="205"/>
      <c r="P1" s="205"/>
      <c r="Q1" s="205"/>
      <c r="R1" s="205"/>
      <c r="S1" s="205"/>
      <c r="T1" s="205"/>
      <c r="U1" s="205"/>
      <c r="V1" s="13"/>
      <c r="W1" s="13"/>
    </row>
    <row r="2" spans="1:26" x14ac:dyDescent="0.2">
      <c r="A2" s="13"/>
      <c r="B2" s="170"/>
      <c r="C2" s="13"/>
      <c r="D2" s="365" t="s">
        <v>210</v>
      </c>
      <c r="E2" s="361"/>
      <c r="F2" s="361"/>
      <c r="G2" s="361"/>
      <c r="H2" s="361"/>
      <c r="I2" s="13" t="s">
        <v>21</v>
      </c>
      <c r="J2" s="13" t="s">
        <v>21</v>
      </c>
      <c r="K2" s="13"/>
      <c r="L2" s="13" t="s">
        <v>21</v>
      </c>
      <c r="M2" s="13"/>
      <c r="N2" s="86"/>
      <c r="O2" s="205"/>
      <c r="P2" s="205"/>
      <c r="Q2" s="205"/>
      <c r="R2" s="205"/>
      <c r="S2" s="205"/>
      <c r="T2" s="205"/>
      <c r="U2" s="205"/>
      <c r="V2" s="13"/>
      <c r="W2" s="13"/>
    </row>
    <row r="3" spans="1:26" x14ac:dyDescent="0.2">
      <c r="A3" s="13"/>
      <c r="B3" s="170"/>
      <c r="C3" s="13"/>
      <c r="D3" s="360" t="s">
        <v>188</v>
      </c>
      <c r="E3" s="361"/>
      <c r="F3" s="361"/>
      <c r="G3" s="361"/>
      <c r="H3" s="361"/>
      <c r="I3" s="13" t="s">
        <v>21</v>
      </c>
      <c r="J3" s="13" t="s">
        <v>21</v>
      </c>
      <c r="K3" s="13"/>
      <c r="L3" s="13" t="s">
        <v>21</v>
      </c>
      <c r="M3" s="13"/>
      <c r="N3" s="86"/>
      <c r="O3" s="205"/>
      <c r="P3" s="205"/>
      <c r="Q3" s="205"/>
      <c r="R3" s="205"/>
      <c r="S3" s="205"/>
      <c r="T3" s="205"/>
      <c r="U3" s="205"/>
      <c r="V3" s="13"/>
      <c r="W3" s="13"/>
    </row>
    <row r="4" spans="1:26" ht="17.25" customHeight="1" x14ac:dyDescent="0.25">
      <c r="A4" s="13"/>
      <c r="B4" s="170"/>
      <c r="C4" s="13"/>
      <c r="D4" s="363" t="s">
        <v>1199</v>
      </c>
      <c r="E4" s="364"/>
      <c r="F4" s="364"/>
      <c r="G4" s="364"/>
      <c r="H4" s="364"/>
      <c r="I4" s="13" t="s">
        <v>21</v>
      </c>
      <c r="J4" s="13" t="s">
        <v>21</v>
      </c>
      <c r="K4" s="13"/>
      <c r="L4" s="13" t="s">
        <v>21</v>
      </c>
      <c r="M4" s="13"/>
      <c r="N4" s="86"/>
      <c r="O4" s="205"/>
      <c r="P4" s="205"/>
      <c r="Q4" s="205"/>
      <c r="R4" s="205"/>
      <c r="S4" s="205"/>
      <c r="T4" s="205"/>
      <c r="U4" s="205"/>
      <c r="V4" s="13"/>
      <c r="W4" s="13"/>
    </row>
    <row r="5" spans="1:26" x14ac:dyDescent="0.2">
      <c r="A5" s="13"/>
      <c r="B5" s="170"/>
      <c r="C5" s="13"/>
      <c r="D5" s="360" t="s">
        <v>21</v>
      </c>
      <c r="E5" s="361"/>
      <c r="F5" s="361"/>
      <c r="G5" s="361"/>
      <c r="H5" s="361"/>
      <c r="I5" s="13" t="s">
        <v>21</v>
      </c>
      <c r="J5" s="13" t="s">
        <v>21</v>
      </c>
      <c r="K5" s="13"/>
      <c r="L5" s="13" t="s">
        <v>21</v>
      </c>
      <c r="M5" s="13"/>
      <c r="N5" s="86"/>
      <c r="O5" s="205"/>
      <c r="P5" s="205"/>
      <c r="Q5" s="205"/>
      <c r="R5" s="205"/>
      <c r="S5" s="205"/>
      <c r="T5" s="205"/>
      <c r="U5" s="205"/>
      <c r="V5" s="13"/>
      <c r="W5" s="13"/>
    </row>
    <row r="6" spans="1:26" x14ac:dyDescent="0.2">
      <c r="A6" s="16"/>
      <c r="B6" s="170"/>
      <c r="C6" s="16"/>
      <c r="D6" s="23"/>
      <c r="E6" s="16"/>
      <c r="F6" s="39" t="s">
        <v>212</v>
      </c>
      <c r="G6" s="362" t="s">
        <v>213</v>
      </c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</row>
    <row r="7" spans="1:26" x14ac:dyDescent="0.2">
      <c r="A7" s="13" t="s">
        <v>295</v>
      </c>
      <c r="B7" s="170"/>
      <c r="C7" s="17">
        <v>5.5E-2</v>
      </c>
      <c r="D7" s="13" t="s">
        <v>21</v>
      </c>
      <c r="E7" s="13" t="s">
        <v>199</v>
      </c>
      <c r="F7" s="15">
        <v>0.35</v>
      </c>
      <c r="G7" s="15">
        <v>0.21</v>
      </c>
      <c r="H7" s="13" t="s">
        <v>21</v>
      </c>
      <c r="I7" s="13" t="s">
        <v>21</v>
      </c>
      <c r="J7" s="13" t="s">
        <v>21</v>
      </c>
      <c r="K7" s="13"/>
      <c r="L7" s="15">
        <v>0.21</v>
      </c>
      <c r="M7" s="13"/>
      <c r="N7" s="86"/>
      <c r="O7" s="205"/>
      <c r="P7" s="205"/>
      <c r="Q7" s="205"/>
      <c r="R7" s="205"/>
      <c r="S7" s="205"/>
      <c r="T7" s="205"/>
      <c r="U7" s="205"/>
      <c r="V7" s="13"/>
      <c r="W7" s="13"/>
    </row>
    <row r="8" spans="1:26" ht="25.5" x14ac:dyDescent="0.2">
      <c r="A8" s="13"/>
      <c r="B8" s="170"/>
      <c r="C8" s="17"/>
      <c r="D8" s="13"/>
      <c r="E8" s="13" t="s">
        <v>200</v>
      </c>
      <c r="F8" s="15">
        <f>(1-F7)*$C$7+F7</f>
        <v>0.38574999999999998</v>
      </c>
      <c r="G8" s="15">
        <f>(1-G7)*$C$7+G7</f>
        <v>0.25345000000000001</v>
      </c>
      <c r="H8" s="13"/>
      <c r="I8" s="13"/>
      <c r="J8" s="13"/>
      <c r="K8" s="13"/>
      <c r="L8" s="15">
        <f>(1-L7)*$C$7+L7</f>
        <v>0.25345000000000001</v>
      </c>
      <c r="M8" s="35" t="s">
        <v>208</v>
      </c>
      <c r="N8" s="169">
        <v>43190</v>
      </c>
      <c r="O8" s="366" t="s">
        <v>1200</v>
      </c>
      <c r="P8" s="366"/>
      <c r="Q8" s="366"/>
      <c r="R8" s="367" t="s">
        <v>1201</v>
      </c>
      <c r="S8" s="367"/>
      <c r="T8" s="367"/>
      <c r="U8" s="35"/>
      <c r="V8" s="35"/>
      <c r="W8" s="13"/>
    </row>
    <row r="9" spans="1:26" ht="26.25" x14ac:dyDescent="0.25">
      <c r="A9" s="59" t="s">
        <v>187</v>
      </c>
      <c r="B9" s="170" t="s">
        <v>1198</v>
      </c>
      <c r="C9"/>
      <c r="D9" s="12" t="s">
        <v>186</v>
      </c>
      <c r="E9" s="12" t="s">
        <v>185</v>
      </c>
      <c r="F9" s="12" t="s">
        <v>184</v>
      </c>
      <c r="G9" s="12" t="s">
        <v>183</v>
      </c>
      <c r="H9" s="18" t="s">
        <v>193</v>
      </c>
      <c r="I9" s="18" t="s">
        <v>195</v>
      </c>
      <c r="J9" s="18" t="s">
        <v>197</v>
      </c>
      <c r="K9" s="18" t="s">
        <v>203</v>
      </c>
      <c r="L9" s="18" t="s">
        <v>191</v>
      </c>
      <c r="M9" s="18" t="s">
        <v>197</v>
      </c>
      <c r="N9" s="18" t="s">
        <v>416</v>
      </c>
      <c r="O9" s="18" t="s">
        <v>193</v>
      </c>
      <c r="P9" s="18" t="s">
        <v>195</v>
      </c>
      <c r="Q9" s="18" t="s">
        <v>1202</v>
      </c>
      <c r="R9" s="18" t="s">
        <v>193</v>
      </c>
      <c r="S9" s="18" t="s">
        <v>195</v>
      </c>
      <c r="T9" s="18" t="s">
        <v>1202</v>
      </c>
      <c r="U9" s="18" t="s">
        <v>1202</v>
      </c>
      <c r="V9" s="18" t="s">
        <v>1197</v>
      </c>
      <c r="W9" s="18" t="s">
        <v>415</v>
      </c>
    </row>
    <row r="10" spans="1:26" ht="15" x14ac:dyDescent="0.25">
      <c r="A10" s="59" t="str">
        <f t="shared" ref="A10:A25" si="0">LEFT(D10,4)</f>
        <v>25AF</v>
      </c>
      <c r="B10" s="170">
        <v>282</v>
      </c>
      <c r="C10" s="84" t="s">
        <v>1195</v>
      </c>
      <c r="D10" t="s">
        <v>26</v>
      </c>
      <c r="E10" t="s">
        <v>171</v>
      </c>
      <c r="F10" s="83">
        <v>0</v>
      </c>
      <c r="G10" s="83">
        <v>0</v>
      </c>
      <c r="H10" s="19"/>
      <c r="I10" s="19">
        <f>G10</f>
        <v>0</v>
      </c>
      <c r="J10" s="19">
        <f t="shared" ref="J10:J26" si="1">G10-H10-I10</f>
        <v>0</v>
      </c>
      <c r="K10" s="19"/>
      <c r="L10" s="19">
        <f t="shared" ref="L10:L26" si="2">SUM(F10:K10)-G10</f>
        <v>0</v>
      </c>
      <c r="M10" s="19"/>
      <c r="N10" s="19"/>
      <c r="O10" s="19"/>
      <c r="P10" s="19"/>
      <c r="Q10" s="19"/>
      <c r="R10" s="19"/>
      <c r="S10" s="19"/>
      <c r="T10" s="19"/>
      <c r="U10" s="19"/>
      <c r="V10" s="19">
        <f>VLOOKUP(D10,'Q1 Activity'!$B$10:$D$25,3,0)</f>
        <v>0</v>
      </c>
      <c r="W10" s="29">
        <f>SUM(L10:V10)</f>
        <v>0</v>
      </c>
      <c r="X10" s="28"/>
      <c r="Y10" s="27">
        <f>SUM(L10:T10)</f>
        <v>0</v>
      </c>
      <c r="Z10" s="27">
        <f>Y10-L10</f>
        <v>0</v>
      </c>
    </row>
    <row r="11" spans="1:26" ht="15" x14ac:dyDescent="0.25">
      <c r="A11" s="59" t="str">
        <f t="shared" si="0"/>
        <v>25AM</v>
      </c>
      <c r="B11" s="170">
        <v>283</v>
      </c>
      <c r="C11" s="82" t="s">
        <v>362</v>
      </c>
      <c r="D11" t="s">
        <v>49</v>
      </c>
      <c r="E11" t="s">
        <v>291</v>
      </c>
      <c r="F11" s="83">
        <v>347</v>
      </c>
      <c r="G11" s="83">
        <v>-119</v>
      </c>
      <c r="H11" s="19"/>
      <c r="I11" s="19"/>
      <c r="J11" s="19">
        <f t="shared" si="1"/>
        <v>-119</v>
      </c>
      <c r="K11" s="19">
        <v>-5</v>
      </c>
      <c r="L11" s="19">
        <f t="shared" si="2"/>
        <v>223</v>
      </c>
      <c r="M11" s="19"/>
      <c r="N11" s="19"/>
      <c r="O11" s="19"/>
      <c r="P11" s="19"/>
      <c r="Q11" s="19"/>
      <c r="R11" s="19"/>
      <c r="S11" s="19"/>
      <c r="T11" s="19"/>
      <c r="U11" s="19"/>
      <c r="V11" s="19">
        <f>VLOOKUP(D11,'Q1 Activity'!$B$10:$D$25,3,0)</f>
        <v>0</v>
      </c>
      <c r="W11" s="29">
        <f t="shared" ref="W11:W26" si="3">SUM(L11:V11)</f>
        <v>223</v>
      </c>
      <c r="X11" s="28"/>
      <c r="Y11" s="27">
        <f t="shared" ref="Y11:Y26" si="4">SUM(L11:T11)</f>
        <v>223</v>
      </c>
      <c r="Z11" s="27">
        <f t="shared" ref="Z11:Z26" si="5">Y11-L11</f>
        <v>0</v>
      </c>
    </row>
    <row r="12" spans="1:26" ht="15" x14ac:dyDescent="0.25">
      <c r="A12" s="59" t="str">
        <f t="shared" si="0"/>
        <v>25AM</v>
      </c>
      <c r="B12" s="170">
        <v>283</v>
      </c>
      <c r="C12" s="82" t="s">
        <v>362</v>
      </c>
      <c r="D12" t="s">
        <v>292</v>
      </c>
      <c r="E12" t="s">
        <v>293</v>
      </c>
      <c r="F12" s="83">
        <v>-92141</v>
      </c>
      <c r="G12" s="83">
        <v>31602</v>
      </c>
      <c r="H12" s="30"/>
      <c r="I12" s="19"/>
      <c r="J12" s="19">
        <f t="shared" si="1"/>
        <v>31602</v>
      </c>
      <c r="K12" s="30"/>
      <c r="L12" s="19">
        <f t="shared" si="2"/>
        <v>-60539</v>
      </c>
      <c r="M12" s="19"/>
      <c r="N12" s="19"/>
      <c r="O12" s="19"/>
      <c r="P12" s="19"/>
      <c r="Q12" s="19"/>
      <c r="R12" s="19"/>
      <c r="S12" s="19"/>
      <c r="T12" s="19"/>
      <c r="U12" s="19"/>
      <c r="V12" s="19">
        <f>VLOOKUP(D12,'Q1 Activity'!$B$10:$D$25,3,0)</f>
        <v>-3016</v>
      </c>
      <c r="W12" s="29">
        <f t="shared" si="3"/>
        <v>-63555</v>
      </c>
      <c r="X12" s="28"/>
      <c r="Y12" s="27">
        <f t="shared" si="4"/>
        <v>-60539</v>
      </c>
      <c r="Z12" s="27">
        <f t="shared" si="5"/>
        <v>0</v>
      </c>
    </row>
    <row r="13" spans="1:26" ht="15" x14ac:dyDescent="0.25">
      <c r="A13" s="59" t="str">
        <f t="shared" si="0"/>
        <v>25BD</v>
      </c>
      <c r="B13" s="170">
        <v>283</v>
      </c>
      <c r="C13" s="82" t="s">
        <v>362</v>
      </c>
      <c r="D13" t="s">
        <v>51</v>
      </c>
      <c r="E13" t="s">
        <v>170</v>
      </c>
      <c r="F13" s="83">
        <v>706</v>
      </c>
      <c r="G13" s="83">
        <v>-242</v>
      </c>
      <c r="H13" s="30"/>
      <c r="I13" s="19"/>
      <c r="J13" s="19">
        <f t="shared" si="1"/>
        <v>-242</v>
      </c>
      <c r="K13" s="30"/>
      <c r="L13" s="19">
        <f t="shared" si="2"/>
        <v>464</v>
      </c>
      <c r="M13" s="19"/>
      <c r="N13" s="19"/>
      <c r="O13" s="19"/>
      <c r="P13" s="19"/>
      <c r="Q13" s="19"/>
      <c r="R13" s="19"/>
      <c r="S13" s="19"/>
      <c r="T13" s="19"/>
      <c r="U13" s="19"/>
      <c r="V13" s="19">
        <f>VLOOKUP(D13,'Q1 Activity'!$B$10:$D$25,3,0)</f>
        <v>258</v>
      </c>
      <c r="W13" s="29">
        <f t="shared" si="3"/>
        <v>722</v>
      </c>
      <c r="X13" s="28"/>
      <c r="Y13" s="27">
        <f t="shared" si="4"/>
        <v>464</v>
      </c>
      <c r="Z13" s="27">
        <f t="shared" si="5"/>
        <v>0</v>
      </c>
    </row>
    <row r="14" spans="1:26" ht="15" x14ac:dyDescent="0.25">
      <c r="A14" s="59" t="str">
        <f t="shared" si="0"/>
        <v>25BN</v>
      </c>
      <c r="B14" s="170">
        <v>283</v>
      </c>
      <c r="C14" s="82" t="s">
        <v>362</v>
      </c>
      <c r="D14" t="s">
        <v>169</v>
      </c>
      <c r="E14" t="s">
        <v>168</v>
      </c>
      <c r="F14" s="83">
        <v>0</v>
      </c>
      <c r="G14" s="83">
        <v>0</v>
      </c>
      <c r="H14" s="30"/>
      <c r="I14" s="19"/>
      <c r="J14" s="19">
        <f t="shared" si="1"/>
        <v>0</v>
      </c>
      <c r="K14" s="19"/>
      <c r="L14" s="19">
        <f t="shared" si="2"/>
        <v>0</v>
      </c>
      <c r="M14" s="19">
        <f>'Tax Reform Entries TX-SPCL'!C9</f>
        <v>1426</v>
      </c>
      <c r="N14" s="19">
        <f>'Q1 ADIT 2018'!E298</f>
        <v>969</v>
      </c>
      <c r="O14" s="19"/>
      <c r="P14" s="19"/>
      <c r="Q14" s="19"/>
      <c r="R14" s="19"/>
      <c r="S14" s="19"/>
      <c r="T14" s="19"/>
      <c r="U14" s="19"/>
      <c r="V14" s="19">
        <f>VLOOKUP(D14,'Q1 Activity'!$B$10:$D$25,3,0)</f>
        <v>0</v>
      </c>
      <c r="W14" s="29">
        <f t="shared" si="3"/>
        <v>2395</v>
      </c>
      <c r="X14" s="28"/>
      <c r="Y14" s="27">
        <f t="shared" si="4"/>
        <v>2395</v>
      </c>
      <c r="Z14" s="27">
        <f t="shared" si="5"/>
        <v>2395</v>
      </c>
    </row>
    <row r="15" spans="1:26" ht="15" x14ac:dyDescent="0.25">
      <c r="A15" s="59" t="str">
        <f t="shared" si="0"/>
        <v>25CN</v>
      </c>
      <c r="B15" s="170">
        <v>283</v>
      </c>
      <c r="C15" s="82" t="s">
        <v>362</v>
      </c>
      <c r="D15" t="s">
        <v>242</v>
      </c>
      <c r="E15" t="s">
        <v>294</v>
      </c>
      <c r="F15" s="83">
        <v>3169</v>
      </c>
      <c r="G15" s="83">
        <v>-1087</v>
      </c>
      <c r="H15" s="30"/>
      <c r="I15" s="19"/>
      <c r="J15" s="19">
        <f t="shared" si="1"/>
        <v>-1087</v>
      </c>
      <c r="K15" s="19"/>
      <c r="L15" s="19">
        <f t="shared" si="2"/>
        <v>2082</v>
      </c>
      <c r="M15" s="19"/>
      <c r="N15" s="19"/>
      <c r="O15" s="19"/>
      <c r="P15" s="19"/>
      <c r="Q15" s="19"/>
      <c r="R15" s="19"/>
      <c r="S15" s="19"/>
      <c r="T15" s="19"/>
      <c r="U15" s="19"/>
      <c r="V15" s="19">
        <f>VLOOKUP(D15,'Q1 Activity'!$B$10:$D$25,3,0)</f>
        <v>492</v>
      </c>
      <c r="W15" s="29">
        <f t="shared" si="3"/>
        <v>2574</v>
      </c>
      <c r="X15" s="28"/>
      <c r="Y15" s="27">
        <f t="shared" si="4"/>
        <v>2082</v>
      </c>
      <c r="Z15" s="27">
        <f t="shared" si="5"/>
        <v>0</v>
      </c>
    </row>
    <row r="16" spans="1:26" ht="15" x14ac:dyDescent="0.25">
      <c r="A16" s="59" t="str">
        <f t="shared" si="0"/>
        <v>25DP</v>
      </c>
      <c r="B16" s="170">
        <v>282</v>
      </c>
      <c r="C16" s="80" t="s">
        <v>1196</v>
      </c>
      <c r="D16" t="s">
        <v>167</v>
      </c>
      <c r="E16" t="s">
        <v>166</v>
      </c>
      <c r="F16" s="83">
        <v>-106772</v>
      </c>
      <c r="G16" s="83">
        <v>36619</v>
      </c>
      <c r="H16" s="30">
        <f>G16</f>
        <v>36619</v>
      </c>
      <c r="I16" s="19"/>
      <c r="J16" s="19">
        <f t="shared" si="1"/>
        <v>0</v>
      </c>
      <c r="K16" s="19">
        <v>-3</v>
      </c>
      <c r="L16" s="19">
        <f t="shared" si="2"/>
        <v>-70156</v>
      </c>
      <c r="M16" s="19"/>
      <c r="N16" s="19"/>
      <c r="O16" s="19">
        <f>-P22</f>
        <v>48</v>
      </c>
      <c r="P16" s="19"/>
      <c r="Q16" s="19">
        <f>-Q22</f>
        <v>-139</v>
      </c>
      <c r="R16" s="19">
        <v>-2610</v>
      </c>
      <c r="S16" s="19"/>
      <c r="T16" s="19">
        <v>7610.2611489016563</v>
      </c>
      <c r="U16" s="19">
        <v>2</v>
      </c>
      <c r="V16" s="19">
        <f>VLOOKUP(D16,'Q1 Activity'!$B$10:$D$25,3,0)</f>
        <v>-46</v>
      </c>
      <c r="W16" s="29">
        <f t="shared" si="3"/>
        <v>-65290.738851098344</v>
      </c>
      <c r="X16" s="28"/>
      <c r="Y16" s="27">
        <f t="shared" si="4"/>
        <v>-65246.738851098344</v>
      </c>
      <c r="Z16" s="27">
        <f t="shared" si="5"/>
        <v>4909.2611489016563</v>
      </c>
    </row>
    <row r="17" spans="1:26" ht="15" x14ac:dyDescent="0.25">
      <c r="A17" s="59" t="str">
        <f t="shared" si="0"/>
        <v>25DP</v>
      </c>
      <c r="B17" s="170">
        <v>282</v>
      </c>
      <c r="C17" s="80" t="s">
        <v>1196</v>
      </c>
      <c r="D17" t="s">
        <v>165</v>
      </c>
      <c r="E17" t="s">
        <v>164</v>
      </c>
      <c r="F17" s="83">
        <v>0</v>
      </c>
      <c r="G17" s="83">
        <v>0</v>
      </c>
      <c r="H17" s="30">
        <f t="shared" ref="H17:H19" si="6">G17</f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/>
      <c r="O17" s="19"/>
      <c r="P17" s="19"/>
      <c r="Q17" s="19"/>
      <c r="R17" s="19"/>
      <c r="S17" s="19"/>
      <c r="T17" s="19"/>
      <c r="U17" s="19"/>
      <c r="V17" s="19">
        <f>VLOOKUP(D17,'Q1 Activity'!$B$10:$D$25,3,0)</f>
        <v>0</v>
      </c>
      <c r="W17" s="29">
        <f t="shared" si="3"/>
        <v>0</v>
      </c>
      <c r="X17" s="28"/>
      <c r="Y17" s="27">
        <f t="shared" si="4"/>
        <v>0</v>
      </c>
      <c r="Z17" s="27">
        <f t="shared" si="5"/>
        <v>0</v>
      </c>
    </row>
    <row r="18" spans="1:26" ht="15" x14ac:dyDescent="0.25">
      <c r="A18" s="59" t="str">
        <f t="shared" si="0"/>
        <v>25DP</v>
      </c>
      <c r="B18" s="170">
        <v>282</v>
      </c>
      <c r="C18" s="84" t="s">
        <v>1195</v>
      </c>
      <c r="D18" t="s">
        <v>163</v>
      </c>
      <c r="E18" t="s">
        <v>147</v>
      </c>
      <c r="F18" s="83">
        <v>-9316</v>
      </c>
      <c r="G18" s="83">
        <v>3195</v>
      </c>
      <c r="H18" s="30">
        <f t="shared" si="6"/>
        <v>3195</v>
      </c>
      <c r="I18" s="19"/>
      <c r="J18" s="19">
        <f t="shared" si="1"/>
        <v>0</v>
      </c>
      <c r="K18" s="19"/>
      <c r="L18" s="19">
        <f t="shared" si="2"/>
        <v>-6121</v>
      </c>
      <c r="M18" s="19"/>
      <c r="N18" s="19"/>
      <c r="O18" s="19"/>
      <c r="P18" s="19"/>
      <c r="Q18" s="19"/>
      <c r="R18" s="19">
        <f>-H18</f>
        <v>-3195</v>
      </c>
      <c r="S18" s="19">
        <f>-R16-R18</f>
        <v>5805</v>
      </c>
      <c r="T18" s="19">
        <f>-T16</f>
        <v>-7610.2611489016563</v>
      </c>
      <c r="U18" s="19"/>
      <c r="V18" s="19">
        <f>VLOOKUP(D18,'Q1 Activity'!$B$10:$D$25,3,0)</f>
        <v>-1286</v>
      </c>
      <c r="W18" s="29">
        <f t="shared" si="3"/>
        <v>-12407.261148901656</v>
      </c>
      <c r="X18" s="28"/>
      <c r="Y18" s="27">
        <f t="shared" si="4"/>
        <v>-11121.261148901656</v>
      </c>
      <c r="Z18" s="27">
        <f t="shared" si="5"/>
        <v>-5000.2611489016563</v>
      </c>
    </row>
    <row r="19" spans="1:26" ht="15" x14ac:dyDescent="0.25">
      <c r="A19" s="59" t="str">
        <f t="shared" si="0"/>
        <v>25DP</v>
      </c>
      <c r="B19" s="170">
        <v>282</v>
      </c>
      <c r="C19" s="80" t="s">
        <v>1196</v>
      </c>
      <c r="D19" t="s">
        <v>162</v>
      </c>
      <c r="E19" t="s">
        <v>161</v>
      </c>
      <c r="F19" s="83">
        <v>0</v>
      </c>
      <c r="G19" s="83">
        <v>0</v>
      </c>
      <c r="H19" s="30">
        <f t="shared" si="6"/>
        <v>0</v>
      </c>
      <c r="I19" s="19"/>
      <c r="J19" s="19">
        <f t="shared" si="1"/>
        <v>0</v>
      </c>
      <c r="K19" s="19"/>
      <c r="L19" s="19">
        <f t="shared" si="2"/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>
        <f>VLOOKUP(D19,'Q1 Activity'!$B$10:$D$25,3,0)</f>
        <v>0</v>
      </c>
      <c r="W19" s="29">
        <f t="shared" si="3"/>
        <v>0</v>
      </c>
      <c r="X19" s="28"/>
      <c r="Y19" s="27">
        <f t="shared" si="4"/>
        <v>0</v>
      </c>
      <c r="Z19" s="27">
        <f t="shared" si="5"/>
        <v>0</v>
      </c>
    </row>
    <row r="20" spans="1:26" ht="15" x14ac:dyDescent="0.25">
      <c r="A20" s="59" t="str">
        <f t="shared" si="0"/>
        <v>25ID</v>
      </c>
      <c r="B20" s="170">
        <v>283</v>
      </c>
      <c r="C20" s="82" t="s">
        <v>362</v>
      </c>
      <c r="D20" t="s">
        <v>87</v>
      </c>
      <c r="E20" t="s">
        <v>160</v>
      </c>
      <c r="F20" s="83">
        <v>-456</v>
      </c>
      <c r="G20" s="83">
        <v>156</v>
      </c>
      <c r="H20" s="30"/>
      <c r="I20" s="19"/>
      <c r="J20" s="19">
        <f t="shared" si="1"/>
        <v>156</v>
      </c>
      <c r="K20" s="19"/>
      <c r="L20" s="19">
        <f t="shared" si="2"/>
        <v>-300</v>
      </c>
      <c r="M20" s="19"/>
      <c r="N20" s="19"/>
      <c r="O20" s="19"/>
      <c r="P20" s="19"/>
      <c r="Q20" s="19"/>
      <c r="R20" s="19"/>
      <c r="S20" s="19"/>
      <c r="T20" s="19"/>
      <c r="U20" s="19"/>
      <c r="V20" s="19">
        <f>VLOOKUP(D20,'Q1 Activity'!$B$10:$D$25,3,0)</f>
        <v>-1</v>
      </c>
      <c r="W20" s="29">
        <f t="shared" si="3"/>
        <v>-301</v>
      </c>
      <c r="X20" s="28"/>
      <c r="Y20" s="27">
        <f t="shared" si="4"/>
        <v>-300</v>
      </c>
      <c r="Z20" s="27">
        <f t="shared" si="5"/>
        <v>0</v>
      </c>
    </row>
    <row r="21" spans="1:26" ht="15" x14ac:dyDescent="0.25">
      <c r="A21" s="59" t="str">
        <f t="shared" si="0"/>
        <v>25PG</v>
      </c>
      <c r="B21" s="170">
        <v>283</v>
      </c>
      <c r="C21" s="82" t="s">
        <v>362</v>
      </c>
      <c r="D21" t="s">
        <v>50</v>
      </c>
      <c r="E21" t="s">
        <v>159</v>
      </c>
      <c r="F21" s="83">
        <v>4561</v>
      </c>
      <c r="G21" s="83">
        <v>-1564</v>
      </c>
      <c r="H21" s="30"/>
      <c r="I21" s="19"/>
      <c r="J21" s="19">
        <f t="shared" si="1"/>
        <v>-1564</v>
      </c>
      <c r="K21" s="19">
        <v>-4</v>
      </c>
      <c r="L21" s="19">
        <f t="shared" si="2"/>
        <v>2993</v>
      </c>
      <c r="M21" s="19"/>
      <c r="N21" s="19"/>
      <c r="O21" s="19"/>
      <c r="P21" s="19"/>
      <c r="Q21" s="19"/>
      <c r="R21" s="19"/>
      <c r="S21" s="19"/>
      <c r="T21" s="19"/>
      <c r="U21" s="19"/>
      <c r="V21" s="19">
        <f>VLOOKUP(D21,'Q1 Activity'!$B$10:$D$25,3,0)</f>
        <v>12997</v>
      </c>
      <c r="W21" s="29">
        <f t="shared" si="3"/>
        <v>15990</v>
      </c>
      <c r="X21" s="28"/>
      <c r="Y21" s="27">
        <f t="shared" si="4"/>
        <v>2993</v>
      </c>
      <c r="Z21" s="27">
        <f t="shared" si="5"/>
        <v>0</v>
      </c>
    </row>
    <row r="22" spans="1:26" ht="15" x14ac:dyDescent="0.25">
      <c r="A22" s="59" t="str">
        <f t="shared" si="0"/>
        <v>25RE</v>
      </c>
      <c r="B22" s="170">
        <v>282</v>
      </c>
      <c r="C22" s="84" t="s">
        <v>1195</v>
      </c>
      <c r="D22" t="s">
        <v>127</v>
      </c>
      <c r="E22" t="s">
        <v>158</v>
      </c>
      <c r="F22" s="83">
        <v>-139</v>
      </c>
      <c r="G22" s="83">
        <v>48</v>
      </c>
      <c r="H22" s="30"/>
      <c r="I22" s="19">
        <f>G22</f>
        <v>48</v>
      </c>
      <c r="J22" s="19">
        <f t="shared" si="1"/>
        <v>0</v>
      </c>
      <c r="K22" s="19"/>
      <c r="L22" s="19">
        <f t="shared" si="2"/>
        <v>-91</v>
      </c>
      <c r="M22" s="19"/>
      <c r="N22" s="19"/>
      <c r="O22" s="19"/>
      <c r="P22" s="19">
        <f>-I22</f>
        <v>-48</v>
      </c>
      <c r="Q22" s="19">
        <f>-F22</f>
        <v>139</v>
      </c>
      <c r="R22" s="19"/>
      <c r="S22" s="19"/>
      <c r="T22" s="19"/>
      <c r="U22" s="19">
        <v>-2</v>
      </c>
      <c r="V22" s="19">
        <f>VLOOKUP(D22,'Q1 Activity'!$B$10:$D$25,3,0)</f>
        <v>2</v>
      </c>
      <c r="W22" s="29">
        <f t="shared" si="3"/>
        <v>0</v>
      </c>
      <c r="X22" s="28"/>
      <c r="Y22" s="27">
        <f t="shared" si="4"/>
        <v>0</v>
      </c>
      <c r="Z22" s="27">
        <f t="shared" si="5"/>
        <v>91</v>
      </c>
    </row>
    <row r="23" spans="1:26" ht="15" x14ac:dyDescent="0.25">
      <c r="A23" s="77" t="str">
        <f t="shared" si="0"/>
        <v>25RT</v>
      </c>
      <c r="B23" s="170">
        <v>283</v>
      </c>
      <c r="C23" s="82" t="s">
        <v>362</v>
      </c>
      <c r="D23" s="79" t="s">
        <v>135</v>
      </c>
      <c r="E23" s="79" t="s">
        <v>190</v>
      </c>
      <c r="F23" s="83"/>
      <c r="G23" s="83"/>
      <c r="H23" s="30"/>
      <c r="I23" s="19"/>
      <c r="J23" s="19"/>
      <c r="K23" s="19"/>
      <c r="L23" s="19">
        <f t="shared" ref="L23" si="7">SUM(F23:K23)-G23</f>
        <v>0</v>
      </c>
      <c r="M23" s="19">
        <f>'Tax Reform Entries TX-SPCL'!C14</f>
        <v>1369</v>
      </c>
      <c r="N23" s="19"/>
      <c r="O23" s="19"/>
      <c r="P23" s="19"/>
      <c r="Q23" s="19"/>
      <c r="R23" s="19"/>
      <c r="S23" s="19"/>
      <c r="T23" s="19"/>
      <c r="U23" s="19"/>
      <c r="V23" s="19"/>
      <c r="W23" s="29">
        <f t="shared" ref="W23" si="8">SUM(L23:V23)</f>
        <v>1369</v>
      </c>
      <c r="X23" s="28"/>
      <c r="Y23" s="27">
        <f t="shared" si="4"/>
        <v>1369</v>
      </c>
      <c r="Z23" s="27">
        <f t="shared" si="5"/>
        <v>1369</v>
      </c>
    </row>
    <row r="24" spans="1:26" ht="15" x14ac:dyDescent="0.25">
      <c r="A24" s="59" t="str">
        <f t="shared" si="0"/>
        <v>25SI</v>
      </c>
      <c r="B24" s="170">
        <v>283</v>
      </c>
      <c r="C24" s="82" t="s">
        <v>362</v>
      </c>
      <c r="D24" t="s">
        <v>157</v>
      </c>
      <c r="E24" t="s">
        <v>156</v>
      </c>
      <c r="F24" s="83">
        <v>-12869</v>
      </c>
      <c r="G24" s="83">
        <v>4414</v>
      </c>
      <c r="H24" s="30"/>
      <c r="I24" s="19"/>
      <c r="J24" s="19">
        <f t="shared" si="1"/>
        <v>4414</v>
      </c>
      <c r="K24" s="19"/>
      <c r="L24" s="19">
        <f t="shared" si="2"/>
        <v>-8455</v>
      </c>
      <c r="M24" s="19"/>
      <c r="N24" s="19"/>
      <c r="O24" s="19"/>
      <c r="P24" s="19"/>
      <c r="Q24" s="19"/>
      <c r="R24" s="19"/>
      <c r="S24" s="19"/>
      <c r="T24" s="19"/>
      <c r="U24" s="19"/>
      <c r="V24" s="19">
        <f>VLOOKUP(D24,'Q1 Activity'!$B$10:$D$25,3,0)</f>
        <v>0</v>
      </c>
      <c r="W24" s="29">
        <f t="shared" si="3"/>
        <v>-8455</v>
      </c>
      <c r="X24" s="28"/>
      <c r="Y24" s="27">
        <f t="shared" si="4"/>
        <v>-8455</v>
      </c>
      <c r="Z24" s="27">
        <f t="shared" si="5"/>
        <v>0</v>
      </c>
    </row>
    <row r="25" spans="1:26" ht="15" x14ac:dyDescent="0.25">
      <c r="A25" s="77" t="str">
        <f t="shared" si="0"/>
        <v>25SR</v>
      </c>
      <c r="B25" s="170">
        <v>283</v>
      </c>
      <c r="C25" s="82" t="s">
        <v>362</v>
      </c>
      <c r="D25" s="79" t="s">
        <v>323</v>
      </c>
      <c r="E25" s="79" t="s">
        <v>296</v>
      </c>
      <c r="F25" s="83"/>
      <c r="G25" s="83"/>
      <c r="H25" s="30"/>
      <c r="I25" s="19"/>
      <c r="J25" s="19">
        <f t="shared" ref="J25" si="9">G25-H25-I25</f>
        <v>0</v>
      </c>
      <c r="K25" s="19"/>
      <c r="L25" s="19">
        <f t="shared" ref="L25" si="10">SUM(F25:K25)-G25</f>
        <v>0</v>
      </c>
      <c r="M25" s="19">
        <f>'Tax Reform Entries TX-SPCL'!C16</f>
        <v>3063</v>
      </c>
      <c r="N25" s="19"/>
      <c r="O25" s="19"/>
      <c r="P25" s="19"/>
      <c r="Q25" s="19"/>
      <c r="R25" s="19"/>
      <c r="S25" s="19"/>
      <c r="T25" s="19"/>
      <c r="U25" s="19"/>
      <c r="V25" s="19"/>
      <c r="W25" s="29">
        <f t="shared" ref="W25" si="11">SUM(L25:V25)</f>
        <v>3063</v>
      </c>
      <c r="X25" s="28"/>
      <c r="Y25" s="27">
        <f t="shared" si="4"/>
        <v>3063</v>
      </c>
      <c r="Z25" s="27">
        <f t="shared" si="5"/>
        <v>3063</v>
      </c>
    </row>
    <row r="26" spans="1:26" ht="15" x14ac:dyDescent="0.25">
      <c r="A26" s="59" t="s">
        <v>123</v>
      </c>
      <c r="B26" s="170">
        <v>283</v>
      </c>
      <c r="C26" s="82" t="s">
        <v>362</v>
      </c>
      <c r="D26" t="s">
        <v>155</v>
      </c>
      <c r="E26" t="s">
        <v>155</v>
      </c>
      <c r="F26" s="83">
        <v>0</v>
      </c>
      <c r="G26" s="83">
        <v>0</v>
      </c>
      <c r="H26" s="19"/>
      <c r="I26" s="19"/>
      <c r="J26" s="19">
        <f t="shared" si="1"/>
        <v>0</v>
      </c>
      <c r="K26" s="19"/>
      <c r="L26" s="19">
        <f t="shared" si="2"/>
        <v>0</v>
      </c>
      <c r="M26" s="19"/>
      <c r="N26" s="19"/>
      <c r="O26" s="19"/>
      <c r="P26" s="19"/>
      <c r="Q26" s="19"/>
      <c r="R26" s="19"/>
      <c r="S26" s="19"/>
      <c r="T26" s="19"/>
      <c r="U26" s="19"/>
      <c r="V26" s="19">
        <f>VLOOKUP(D26,'Q1 Activity'!$B$10:$D$25,3,0)</f>
        <v>0</v>
      </c>
      <c r="W26" s="29">
        <f t="shared" si="3"/>
        <v>0</v>
      </c>
      <c r="X26" s="28"/>
      <c r="Y26" s="27">
        <f t="shared" si="4"/>
        <v>0</v>
      </c>
      <c r="Z26" s="27">
        <f t="shared" si="5"/>
        <v>0</v>
      </c>
    </row>
    <row r="27" spans="1:26" x14ac:dyDescent="0.2">
      <c r="A27" s="13"/>
      <c r="B27" s="170"/>
      <c r="C27" s="13"/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13" t="s">
        <v>21</v>
      </c>
      <c r="K27" s="13"/>
      <c r="L27" s="13" t="s">
        <v>21</v>
      </c>
      <c r="M27" s="13" t="s">
        <v>21</v>
      </c>
      <c r="N27" s="86"/>
      <c r="O27" s="205"/>
      <c r="P27" s="205"/>
      <c r="Q27" s="205"/>
      <c r="R27" s="205"/>
      <c r="S27" s="205"/>
      <c r="T27" s="205"/>
      <c r="U27" s="205"/>
      <c r="V27" s="13"/>
      <c r="W27" s="13"/>
      <c r="Y27" s="27"/>
      <c r="Z27" s="27"/>
    </row>
    <row r="28" spans="1:26" ht="13.5" thickBot="1" x14ac:dyDescent="0.25">
      <c r="A28" s="13"/>
      <c r="B28" s="170"/>
      <c r="C28" s="13"/>
      <c r="D28" s="20" t="s">
        <v>154</v>
      </c>
      <c r="E28" s="20" t="s">
        <v>21</v>
      </c>
      <c r="F28" s="21">
        <f t="shared" ref="F28:W28" si="12">SUM(F10:F27)</f>
        <v>-212910</v>
      </c>
      <c r="G28" s="21">
        <f t="shared" si="12"/>
        <v>73022</v>
      </c>
      <c r="H28" s="21">
        <f t="shared" si="12"/>
        <v>39814</v>
      </c>
      <c r="I28" s="21">
        <f t="shared" si="12"/>
        <v>48</v>
      </c>
      <c r="J28" s="21">
        <f t="shared" si="12"/>
        <v>33160</v>
      </c>
      <c r="K28" s="21">
        <f t="shared" si="12"/>
        <v>-12</v>
      </c>
      <c r="L28" s="21">
        <f t="shared" si="12"/>
        <v>-139900</v>
      </c>
      <c r="M28" s="21">
        <f t="shared" si="12"/>
        <v>5858</v>
      </c>
      <c r="N28" s="21">
        <f t="shared" si="12"/>
        <v>969</v>
      </c>
      <c r="O28" s="21">
        <f t="shared" si="12"/>
        <v>48</v>
      </c>
      <c r="P28" s="21">
        <f t="shared" si="12"/>
        <v>-48</v>
      </c>
      <c r="Q28" s="21">
        <f t="shared" si="12"/>
        <v>0</v>
      </c>
      <c r="R28" s="21">
        <f t="shared" si="12"/>
        <v>-5805</v>
      </c>
      <c r="S28" s="21">
        <f t="shared" si="12"/>
        <v>5805</v>
      </c>
      <c r="T28" s="21">
        <f t="shared" si="12"/>
        <v>0</v>
      </c>
      <c r="U28" s="21">
        <f t="shared" si="12"/>
        <v>0</v>
      </c>
      <c r="V28" s="21">
        <f t="shared" si="12"/>
        <v>9400</v>
      </c>
      <c r="W28" s="21">
        <f t="shared" si="12"/>
        <v>-123673</v>
      </c>
      <c r="Y28" s="21">
        <f>SUM(Y10:Y27)</f>
        <v>-133073</v>
      </c>
      <c r="Z28" s="208">
        <f>SUM(Z10:Z27)</f>
        <v>6827</v>
      </c>
    </row>
    <row r="29" spans="1:26" ht="13.5" thickTop="1" x14ac:dyDescent="0.2">
      <c r="A29" s="13"/>
      <c r="B29" s="170"/>
      <c r="C29" s="13"/>
      <c r="D29" s="13"/>
      <c r="E29" s="13"/>
      <c r="F29" s="36">
        <f>F28-'FT-OTP Deferreds'!X25</f>
        <v>1</v>
      </c>
      <c r="G29" s="36">
        <f>G28-'FT-OTP Deferreds'!J25-'FT-OTP Deferreds'!L25-'FT-OTP Deferreds'!N25</f>
        <v>0</v>
      </c>
      <c r="H29" s="13"/>
      <c r="I29" s="13"/>
      <c r="J29" s="13"/>
      <c r="K29" s="13"/>
      <c r="L29" s="13"/>
      <c r="M29" s="13"/>
      <c r="N29" s="86"/>
      <c r="O29" s="205"/>
      <c r="P29" s="205"/>
      <c r="Q29" s="205"/>
      <c r="R29" s="205"/>
      <c r="S29" s="205"/>
      <c r="T29" s="205"/>
      <c r="U29" s="205"/>
      <c r="V29" s="13"/>
      <c r="W29" s="13"/>
    </row>
    <row r="30" spans="1:26" x14ac:dyDescent="0.2">
      <c r="A30" s="13"/>
      <c r="B30" s="170"/>
      <c r="C30" s="24"/>
      <c r="D30" s="13"/>
      <c r="E30" s="13" t="s">
        <v>194</v>
      </c>
      <c r="F30" s="13"/>
      <c r="G30" s="13"/>
      <c r="H30" s="19">
        <f>(H28/(1-$G$8)-H28)</f>
        <v>13516.65434331257</v>
      </c>
      <c r="I30" s="13"/>
      <c r="J30" s="13"/>
      <c r="K30" s="13"/>
      <c r="L30" s="19">
        <f>SUM(F30:J30)-G30</f>
        <v>13516.65434331257</v>
      </c>
      <c r="M30" s="13"/>
      <c r="N30" s="86"/>
      <c r="O30" s="19">
        <f>(O28/(1-$G$8)-O28)</f>
        <v>16.29576049829214</v>
      </c>
      <c r="P30" s="205"/>
      <c r="Q30" s="205"/>
      <c r="R30" s="19">
        <f>(R28/(1-$G$8)-R28)</f>
        <v>-1970.7685352622057</v>
      </c>
      <c r="S30" s="205"/>
      <c r="T30" s="205"/>
      <c r="U30" s="205"/>
      <c r="V30" s="13"/>
      <c r="W30" s="36">
        <f>SUM(L30:V30)</f>
        <v>11562.181568548658</v>
      </c>
      <c r="Y30" s="26"/>
    </row>
    <row r="31" spans="1:26" x14ac:dyDescent="0.2">
      <c r="E31" s="22" t="s">
        <v>196</v>
      </c>
      <c r="I31" s="19">
        <f>(I28/(1-$G$8)-I28)</f>
        <v>16.29576049829214</v>
      </c>
      <c r="L31" s="19">
        <f>SUM(F31:J31)-G31</f>
        <v>16.29576049829214</v>
      </c>
      <c r="O31" s="19"/>
      <c r="P31" s="19">
        <f>(P28/(1-$G$8)-P28)</f>
        <v>-16.29576049829214</v>
      </c>
      <c r="R31" s="19"/>
      <c r="S31" s="19">
        <f>(S28/(1-$G$8)-S28)</f>
        <v>1970.7685352622057</v>
      </c>
      <c r="W31" s="36">
        <f t="shared" ref="W31:W33" si="13">SUM(L31:V31)</f>
        <v>1970.7685352622057</v>
      </c>
    </row>
    <row r="32" spans="1:26" x14ac:dyDescent="0.2">
      <c r="E32" s="22" t="s">
        <v>198</v>
      </c>
      <c r="J32" s="19">
        <f>(J28/(1-$G$8)-J28)</f>
        <v>11257.654544236822</v>
      </c>
      <c r="K32" s="19"/>
      <c r="L32" s="19">
        <f>SUM(F32:J32)-G32</f>
        <v>11257.654544236822</v>
      </c>
      <c r="M32" s="19">
        <f>'Tax Reform Entries TX-SPCL'!C17</f>
        <v>-1039</v>
      </c>
      <c r="N32" s="19">
        <f>'Q1 ADIT 2018'!E324</f>
        <v>-171</v>
      </c>
      <c r="O32" s="19"/>
      <c r="P32" s="19"/>
      <c r="Q32" s="19"/>
      <c r="R32" s="19"/>
      <c r="S32" s="19"/>
      <c r="T32" s="19"/>
      <c r="U32" s="19"/>
      <c r="V32" s="19"/>
      <c r="W32" s="36">
        <f t="shared" si="13"/>
        <v>10047.654544236822</v>
      </c>
    </row>
    <row r="33" spans="1:26" x14ac:dyDescent="0.2">
      <c r="E33" s="22" t="s">
        <v>236</v>
      </c>
      <c r="J33" s="19"/>
      <c r="K33" s="19"/>
      <c r="L33" s="19">
        <f>SUM(F33:J33)-G33</f>
        <v>0</v>
      </c>
      <c r="W33" s="36">
        <f t="shared" si="13"/>
        <v>0</v>
      </c>
    </row>
    <row r="34" spans="1:26" x14ac:dyDescent="0.2"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6" x14ac:dyDescent="0.2">
      <c r="A35" s="13" t="s">
        <v>132</v>
      </c>
      <c r="B35" s="170"/>
      <c r="C35" s="24"/>
      <c r="D35" s="13" t="s">
        <v>132</v>
      </c>
      <c r="E35" s="13" t="s">
        <v>192</v>
      </c>
      <c r="H35" s="26">
        <f>SUM(H30:H34)</f>
        <v>13516.65434331257</v>
      </c>
      <c r="I35" s="26">
        <f>SUM(I30:I34)</f>
        <v>16.29576049829214</v>
      </c>
      <c r="J35" s="26">
        <f>SUM(J30:J34)</f>
        <v>11257.654544236822</v>
      </c>
      <c r="K35" s="26"/>
      <c r="L35" s="26">
        <f>SUM(L30:L34)</f>
        <v>24790.604648047687</v>
      </c>
      <c r="M35" s="26">
        <f>SUM(M30:M34)</f>
        <v>-1039</v>
      </c>
      <c r="N35" s="26">
        <f>SUM(N30:N34)</f>
        <v>-171</v>
      </c>
      <c r="O35" s="26">
        <f t="shared" ref="O35:V35" si="14">SUM(O30:O34)</f>
        <v>16.29576049829214</v>
      </c>
      <c r="P35" s="26">
        <f t="shared" si="14"/>
        <v>-16.29576049829214</v>
      </c>
      <c r="Q35" s="26">
        <f t="shared" si="14"/>
        <v>0</v>
      </c>
      <c r="R35" s="26">
        <f t="shared" si="14"/>
        <v>-1970.7685352622057</v>
      </c>
      <c r="S35" s="26">
        <f t="shared" si="14"/>
        <v>1970.7685352622057</v>
      </c>
      <c r="T35" s="26">
        <f t="shared" si="14"/>
        <v>0</v>
      </c>
      <c r="U35" s="26">
        <f t="shared" si="14"/>
        <v>0</v>
      </c>
      <c r="V35" s="26">
        <f t="shared" si="14"/>
        <v>0</v>
      </c>
      <c r="W35" s="26">
        <f>SUM(W30:W34)</f>
        <v>23580.604648047687</v>
      </c>
      <c r="Y35" s="58"/>
      <c r="Z35" s="58"/>
    </row>
    <row r="37" spans="1:26" ht="13.5" thickBot="1" x14ac:dyDescent="0.25">
      <c r="D37" s="20" t="s">
        <v>221</v>
      </c>
      <c r="H37" s="31">
        <f>H28+H35</f>
        <v>53330.65434331257</v>
      </c>
      <c r="I37" s="31">
        <f>I28+I35</f>
        <v>64.29576049829214</v>
      </c>
      <c r="J37" s="31">
        <f>J28+J35</f>
        <v>44417.654544236822</v>
      </c>
      <c r="L37" s="31">
        <f>L28+L35</f>
        <v>-115109.39535195232</v>
      </c>
      <c r="M37" s="31">
        <f>M28+M35</f>
        <v>4819</v>
      </c>
      <c r="N37" s="31">
        <f>N28+N35</f>
        <v>798</v>
      </c>
      <c r="O37" s="31">
        <f t="shared" ref="O37:U37" si="15">O28+O35</f>
        <v>64.29576049829214</v>
      </c>
      <c r="P37" s="31">
        <f t="shared" si="15"/>
        <v>-64.29576049829214</v>
      </c>
      <c r="Q37" s="31">
        <f t="shared" si="15"/>
        <v>0</v>
      </c>
      <c r="R37" s="31">
        <f t="shared" si="15"/>
        <v>-7775.7685352622057</v>
      </c>
      <c r="S37" s="31">
        <f t="shared" si="15"/>
        <v>7775.7685352622057</v>
      </c>
      <c r="T37" s="31">
        <f t="shared" si="15"/>
        <v>0</v>
      </c>
      <c r="U37" s="31">
        <f t="shared" si="15"/>
        <v>0</v>
      </c>
      <c r="V37" s="31">
        <f>V28+V35</f>
        <v>9400</v>
      </c>
      <c r="W37" s="31">
        <f>W28+W35</f>
        <v>-100092.39535195232</v>
      </c>
    </row>
    <row r="38" spans="1:26" ht="13.5" thickTop="1" x14ac:dyDescent="0.2">
      <c r="H38" s="43" t="s">
        <v>214</v>
      </c>
      <c r="I38" s="43" t="s">
        <v>215</v>
      </c>
      <c r="J38" s="43" t="s">
        <v>216</v>
      </c>
    </row>
    <row r="39" spans="1:26" ht="15" x14ac:dyDescent="0.25">
      <c r="D39" s="47" t="s">
        <v>239</v>
      </c>
      <c r="H39" s="43"/>
      <c r="I39" s="43"/>
      <c r="J39" s="43"/>
    </row>
    <row r="40" spans="1:26" ht="15" x14ac:dyDescent="0.25">
      <c r="E40" s="44" t="s">
        <v>232</v>
      </c>
      <c r="H40" s="19">
        <f>-H28</f>
        <v>-39814</v>
      </c>
      <c r="I40" s="43"/>
      <c r="J40" s="43"/>
      <c r="O40" s="19">
        <f>-O28</f>
        <v>-48</v>
      </c>
      <c r="R40" s="19">
        <f>-R28</f>
        <v>5805</v>
      </c>
      <c r="W40" s="26">
        <f>SUM(H40:V40)</f>
        <v>-34057</v>
      </c>
    </row>
    <row r="41" spans="1:26" ht="15" x14ac:dyDescent="0.25">
      <c r="E41" s="44" t="s">
        <v>233</v>
      </c>
      <c r="H41" s="19">
        <f>-I28</f>
        <v>-48</v>
      </c>
      <c r="I41" s="43"/>
      <c r="J41" s="43"/>
      <c r="P41" s="19">
        <f>-P28</f>
        <v>48</v>
      </c>
      <c r="S41" s="19">
        <f>-S28</f>
        <v>-5805</v>
      </c>
      <c r="W41" s="26">
        <f t="shared" ref="W41:W42" si="16">SUM(H41:V41)</f>
        <v>-5805</v>
      </c>
    </row>
    <row r="42" spans="1:26" ht="15" x14ac:dyDescent="0.25">
      <c r="E42" s="44" t="s">
        <v>234</v>
      </c>
      <c r="H42" s="19">
        <f>-J28</f>
        <v>-33160</v>
      </c>
      <c r="I42" s="43"/>
      <c r="J42" s="49"/>
      <c r="M42" s="26">
        <f>-M28</f>
        <v>-5858</v>
      </c>
      <c r="N42" s="26">
        <f>-N28</f>
        <v>-969</v>
      </c>
      <c r="O42" s="26"/>
      <c r="P42" s="26"/>
      <c r="Q42" s="26"/>
      <c r="R42" s="26"/>
      <c r="S42" s="26"/>
      <c r="T42" s="26"/>
      <c r="U42" s="26"/>
      <c r="W42" s="26">
        <f t="shared" si="16"/>
        <v>-39987</v>
      </c>
    </row>
    <row r="43" spans="1:26" ht="15" x14ac:dyDescent="0.25">
      <c r="E43" s="48"/>
      <c r="H43" s="45"/>
      <c r="I43" s="43"/>
      <c r="J43" s="43"/>
      <c r="W43" s="45"/>
    </row>
    <row r="44" spans="1:26" ht="15.75" thickBot="1" x14ac:dyDescent="0.3">
      <c r="E44" s="44" t="s">
        <v>235</v>
      </c>
      <c r="H44" s="46">
        <f>SUM(H40:H43)</f>
        <v>-73022</v>
      </c>
      <c r="I44" s="43"/>
      <c r="J44" s="43"/>
      <c r="W44" s="46">
        <f>SUM(W40:W43)</f>
        <v>-79849</v>
      </c>
      <c r="X44" s="26"/>
    </row>
    <row r="45" spans="1:26" ht="15.75" thickTop="1" x14ac:dyDescent="0.25">
      <c r="E45" s="44"/>
      <c r="H45" s="50"/>
      <c r="I45" s="43"/>
      <c r="J45" s="43"/>
    </row>
    <row r="46" spans="1:26" ht="6.75" customHeight="1" x14ac:dyDescent="0.25">
      <c r="C46" s="51"/>
      <c r="D46" s="51"/>
      <c r="E46" s="52"/>
      <c r="F46" s="51"/>
      <c r="G46" s="51"/>
      <c r="H46" s="53"/>
      <c r="I46" s="54"/>
      <c r="J46" s="54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 spans="1:26" ht="15" x14ac:dyDescent="0.25">
      <c r="E47" s="44"/>
      <c r="H47" s="50"/>
      <c r="I47" s="43"/>
      <c r="J47" s="43"/>
    </row>
    <row r="48" spans="1:26" x14ac:dyDescent="0.2">
      <c r="H48" s="43"/>
      <c r="I48" s="43"/>
      <c r="J48" s="43"/>
    </row>
    <row r="49" spans="4:24" x14ac:dyDescent="0.2">
      <c r="J49" s="41" t="s">
        <v>363</v>
      </c>
      <c r="K49" s="41" t="s">
        <v>201</v>
      </c>
      <c r="L49" s="26">
        <f>'FT TB'!C116</f>
        <v>-115109</v>
      </c>
      <c r="W49" s="26">
        <f>'FT TB'!F116</f>
        <v>-100092</v>
      </c>
    </row>
    <row r="50" spans="4:24" x14ac:dyDescent="0.2">
      <c r="L50" s="25"/>
      <c r="W50" s="25"/>
    </row>
    <row r="51" spans="4:24" x14ac:dyDescent="0.2">
      <c r="J51" s="22" t="s">
        <v>202</v>
      </c>
      <c r="L51" s="26">
        <f>L37-L49</f>
        <v>-0.3953519523201976</v>
      </c>
      <c r="W51" s="26">
        <f>W37-W49</f>
        <v>-0.3953519523201976</v>
      </c>
    </row>
    <row r="54" spans="4:24" x14ac:dyDescent="0.2">
      <c r="D54" s="13" t="s">
        <v>132</v>
      </c>
      <c r="E54" s="13" t="s">
        <v>192</v>
      </c>
      <c r="L54" s="26">
        <f>L35</f>
        <v>24790.604648047687</v>
      </c>
      <c r="W54" s="26">
        <f>W35</f>
        <v>23580.604648047687</v>
      </c>
    </row>
    <row r="55" spans="4:24" x14ac:dyDescent="0.2">
      <c r="D55" s="13" t="s">
        <v>132</v>
      </c>
      <c r="E55" s="22" t="s">
        <v>201</v>
      </c>
      <c r="L55" s="27">
        <f>'FT TB'!C114</f>
        <v>24791</v>
      </c>
      <c r="W55" s="27">
        <f>'FT TB'!F114</f>
        <v>23581</v>
      </c>
    </row>
    <row r="56" spans="4:24" x14ac:dyDescent="0.2">
      <c r="L56" s="25"/>
      <c r="W56" s="25"/>
    </row>
    <row r="57" spans="4:24" x14ac:dyDescent="0.2">
      <c r="J57" s="22" t="s">
        <v>202</v>
      </c>
      <c r="L57" s="27">
        <f>L54-L55</f>
        <v>-0.39535195231292164</v>
      </c>
      <c r="W57" s="27">
        <f>W54-W55</f>
        <v>-0.39535195231292164</v>
      </c>
    </row>
    <row r="58" spans="4:24" x14ac:dyDescent="0.2">
      <c r="L58" s="43" t="s">
        <v>217</v>
      </c>
    </row>
    <row r="59" spans="4:24" x14ac:dyDescent="0.2">
      <c r="L59" s="42"/>
    </row>
    <row r="61" spans="4:24" x14ac:dyDescent="0.2">
      <c r="D61" s="22" t="s">
        <v>205</v>
      </c>
      <c r="E61" s="22" t="s">
        <v>218</v>
      </c>
      <c r="K61" s="43" t="s">
        <v>214</v>
      </c>
      <c r="L61" s="26">
        <f>-H37</f>
        <v>-53330.65434331257</v>
      </c>
      <c r="O61" s="26">
        <f>-O37</f>
        <v>-64.29576049829214</v>
      </c>
      <c r="R61" s="26">
        <f>-R37</f>
        <v>7775.7685352622057</v>
      </c>
      <c r="W61" s="26">
        <f>SUM(L61:V61)</f>
        <v>-45619.181568548658</v>
      </c>
      <c r="X61" s="27">
        <f>W61-'Reg Liab'!F6</f>
        <v>7711.8184314513419</v>
      </c>
    </row>
    <row r="62" spans="4:24" x14ac:dyDescent="0.2">
      <c r="D62" s="22" t="s">
        <v>206</v>
      </c>
      <c r="E62" s="22" t="s">
        <v>219</v>
      </c>
      <c r="K62" s="43" t="s">
        <v>220</v>
      </c>
      <c r="L62" s="28">
        <f>L57-I37-J37</f>
        <v>-44482.34565668743</v>
      </c>
      <c r="M62" s="27">
        <f>'Reg Liab'!C7</f>
        <v>4097</v>
      </c>
      <c r="N62" s="27">
        <v>676</v>
      </c>
      <c r="O62" s="27"/>
      <c r="P62" s="27">
        <f>-P37</f>
        <v>64.29576049829214</v>
      </c>
      <c r="Q62" s="27"/>
      <c r="R62" s="27"/>
      <c r="S62" s="27">
        <f>-S37</f>
        <v>-7775.7685352622057</v>
      </c>
      <c r="T62" s="27"/>
      <c r="U62" s="27"/>
      <c r="W62" s="26">
        <f>SUM(L62:V62)</f>
        <v>-47420.818431451342</v>
      </c>
      <c r="X62" s="28">
        <f>W62-'Reg Liab'!D6-N62</f>
        <v>-7711.8184314513419</v>
      </c>
    </row>
    <row r="63" spans="4:24" x14ac:dyDescent="0.2">
      <c r="L63" s="25"/>
      <c r="W63" s="25"/>
    </row>
    <row r="64" spans="4:24" x14ac:dyDescent="0.2">
      <c r="L64" s="26">
        <f>SUM(L61:L63)</f>
        <v>-97813</v>
      </c>
      <c r="W64" s="26">
        <f>SUM(W61:W63)</f>
        <v>-93040</v>
      </c>
      <c r="X64" s="26">
        <f>W64-'FT TB'!F142</f>
        <v>0</v>
      </c>
    </row>
    <row r="65" spans="5:24" x14ac:dyDescent="0.2">
      <c r="W65" s="28"/>
    </row>
    <row r="66" spans="5:24" x14ac:dyDescent="0.2">
      <c r="E66" s="22" t="s">
        <v>237</v>
      </c>
      <c r="L66" s="26">
        <f>-I37</f>
        <v>-64.29576049829214</v>
      </c>
      <c r="P66" s="28">
        <f>P62</f>
        <v>64.29576049829214</v>
      </c>
      <c r="S66" s="28">
        <f>S62</f>
        <v>-7775.7685352622057</v>
      </c>
      <c r="W66" s="26">
        <f>SUM(L66:V66)</f>
        <v>-7775.7685352622057</v>
      </c>
    </row>
    <row r="67" spans="5:24" x14ac:dyDescent="0.2">
      <c r="E67" s="22" t="s">
        <v>238</v>
      </c>
      <c r="L67" s="26">
        <f>-J37</f>
        <v>-44417.654544236822</v>
      </c>
      <c r="M67" s="28">
        <f>+M62</f>
        <v>4097</v>
      </c>
      <c r="N67" s="28">
        <f>+N62</f>
        <v>676</v>
      </c>
      <c r="O67" s="28"/>
      <c r="P67" s="28"/>
      <c r="Q67" s="28"/>
      <c r="R67" s="28"/>
      <c r="S67" s="28"/>
      <c r="T67" s="28"/>
      <c r="U67" s="28"/>
      <c r="W67" s="26">
        <f>SUM(L67:V67)</f>
        <v>-39644.654544236822</v>
      </c>
    </row>
    <row r="68" spans="5:24" x14ac:dyDescent="0.2">
      <c r="L68" s="25"/>
      <c r="W68" s="25"/>
    </row>
    <row r="69" spans="5:24" x14ac:dyDescent="0.2">
      <c r="L69" s="26">
        <f>SUM(L66:L68)</f>
        <v>-44481.950304735117</v>
      </c>
      <c r="W69" s="26">
        <f>SUM(W66:W68)</f>
        <v>-47420.423079499029</v>
      </c>
      <c r="X69" s="27">
        <f>X62</f>
        <v>-7711.8184314513419</v>
      </c>
    </row>
    <row r="72" spans="5:24" x14ac:dyDescent="0.2">
      <c r="G72" s="209"/>
      <c r="H72" s="210"/>
      <c r="I72" s="210"/>
      <c r="J72" s="210"/>
      <c r="K72" s="210"/>
      <c r="L72" s="210"/>
      <c r="M72" s="210"/>
      <c r="N72" s="210"/>
      <c r="O72" s="211"/>
    </row>
    <row r="73" spans="5:24" x14ac:dyDescent="0.2">
      <c r="G73" s="212"/>
      <c r="H73" s="213" t="s">
        <v>1203</v>
      </c>
      <c r="I73" s="214"/>
      <c r="J73" s="214"/>
      <c r="K73" s="214"/>
      <c r="L73" s="214"/>
      <c r="M73" s="214"/>
      <c r="N73" s="214"/>
      <c r="O73" s="215"/>
    </row>
    <row r="74" spans="5:24" x14ac:dyDescent="0.2">
      <c r="G74" s="212"/>
      <c r="H74" s="214"/>
      <c r="I74" s="214"/>
      <c r="J74" s="214"/>
      <c r="K74" s="214"/>
      <c r="L74" s="214"/>
      <c r="M74" s="214"/>
      <c r="N74" s="214"/>
      <c r="O74" s="215"/>
    </row>
    <row r="75" spans="5:24" ht="25.5" x14ac:dyDescent="0.2">
      <c r="G75" s="212"/>
      <c r="H75" s="216" t="s">
        <v>191</v>
      </c>
      <c r="I75" s="216" t="s">
        <v>1204</v>
      </c>
      <c r="J75" s="217">
        <v>0.21</v>
      </c>
      <c r="K75" s="216" t="s">
        <v>1205</v>
      </c>
      <c r="L75" s="216" t="s">
        <v>1206</v>
      </c>
      <c r="M75" s="216"/>
      <c r="N75" s="216" t="s">
        <v>1207</v>
      </c>
      <c r="O75" s="215"/>
    </row>
    <row r="76" spans="5:24" x14ac:dyDescent="0.2">
      <c r="G76" s="212"/>
      <c r="H76" s="218">
        <v>3645.181495363976</v>
      </c>
      <c r="I76" s="218">
        <f>H76/$F$8</f>
        <v>9449.5955809824391</v>
      </c>
      <c r="J76" s="218">
        <f>I76*$G$8</f>
        <v>2394.9999999999991</v>
      </c>
      <c r="K76" s="218">
        <f>J76-H76</f>
        <v>-1250.1814953639769</v>
      </c>
      <c r="L76" s="219">
        <f>H76+K76</f>
        <v>2394.9999999999991</v>
      </c>
      <c r="M76" s="220"/>
      <c r="N76" s="221">
        <f>(K76/(1-$G$8)-K76)</f>
        <v>-424.43037974683534</v>
      </c>
      <c r="O76" s="215"/>
    </row>
    <row r="77" spans="5:24" x14ac:dyDescent="0.2">
      <c r="G77" s="212"/>
      <c r="H77" s="218">
        <v>2083.6131386861312</v>
      </c>
      <c r="I77" s="218">
        <f t="shared" ref="I77:I78" si="17">H77/$F$8</f>
        <v>5401.459854014598</v>
      </c>
      <c r="J77" s="218">
        <f t="shared" ref="J77:J78" si="18">I77*$G$8</f>
        <v>1369</v>
      </c>
      <c r="K77" s="218">
        <f t="shared" ref="K77:K78" si="19">J77-H77</f>
        <v>-714.61313868613115</v>
      </c>
      <c r="L77" s="219">
        <f t="shared" ref="L77:L78" si="20">H77+K77</f>
        <v>1369</v>
      </c>
      <c r="M77" s="220"/>
      <c r="N77" s="221">
        <f t="shared" ref="N77:N78" si="21">(K77/(1-$G$8)-K77)</f>
        <v>-242.60759493670867</v>
      </c>
      <c r="O77" s="215"/>
    </row>
    <row r="78" spans="5:24" x14ac:dyDescent="0.2">
      <c r="G78" s="212"/>
      <c r="H78" s="218">
        <v>4661.8751232984805</v>
      </c>
      <c r="I78" s="218">
        <f t="shared" si="17"/>
        <v>12085.223910041428</v>
      </c>
      <c r="J78" s="218">
        <f t="shared" si="18"/>
        <v>3063</v>
      </c>
      <c r="K78" s="218">
        <f t="shared" si="19"/>
        <v>-1598.8751232984805</v>
      </c>
      <c r="L78" s="219">
        <f t="shared" si="20"/>
        <v>3063</v>
      </c>
      <c r="M78" s="220"/>
      <c r="N78" s="221">
        <f t="shared" si="21"/>
        <v>-542.81012658227837</v>
      </c>
      <c r="O78" s="215"/>
    </row>
    <row r="79" spans="5:24" x14ac:dyDescent="0.2">
      <c r="G79" s="212"/>
      <c r="H79" s="25"/>
      <c r="I79" s="25"/>
      <c r="J79" s="25"/>
      <c r="K79" s="25"/>
      <c r="L79" s="25"/>
      <c r="M79" s="25"/>
      <c r="N79" s="25"/>
      <c r="O79" s="215"/>
    </row>
    <row r="80" spans="5:24" x14ac:dyDescent="0.2">
      <c r="G80" s="212"/>
      <c r="H80" s="219">
        <f>SUM(H76:H79)</f>
        <v>10390.669757348587</v>
      </c>
      <c r="I80" s="219">
        <f t="shared" ref="I80:N80" si="22">SUM(I76:I79)</f>
        <v>26936.279345038463</v>
      </c>
      <c r="J80" s="219">
        <f t="shared" si="22"/>
        <v>6826.9999999999991</v>
      </c>
      <c r="K80" s="219">
        <f t="shared" si="22"/>
        <v>-3563.6697573485885</v>
      </c>
      <c r="L80" s="219">
        <f t="shared" si="22"/>
        <v>6826.9999999999991</v>
      </c>
      <c r="M80" s="219">
        <f t="shared" si="22"/>
        <v>0</v>
      </c>
      <c r="N80" s="219">
        <f t="shared" si="22"/>
        <v>-1209.8481012658224</v>
      </c>
      <c r="O80" s="215"/>
    </row>
    <row r="81" spans="7:15" x14ac:dyDescent="0.2">
      <c r="G81" s="212"/>
      <c r="H81" s="214"/>
      <c r="I81" s="214"/>
      <c r="J81" s="214"/>
      <c r="K81" s="214"/>
      <c r="L81" s="214"/>
      <c r="M81" s="214"/>
      <c r="N81" s="214"/>
      <c r="O81" s="215"/>
    </row>
    <row r="82" spans="7:15" x14ac:dyDescent="0.2">
      <c r="G82" s="212"/>
      <c r="H82" s="214"/>
      <c r="I82" s="214"/>
      <c r="J82" s="214"/>
      <c r="K82" s="214"/>
      <c r="L82" s="214"/>
      <c r="M82" s="214"/>
      <c r="N82" s="214"/>
      <c r="O82" s="215"/>
    </row>
    <row r="83" spans="7:15" x14ac:dyDescent="0.2">
      <c r="G83" s="212"/>
      <c r="H83" s="214"/>
      <c r="I83" s="214"/>
      <c r="J83" s="214"/>
      <c r="K83" s="214"/>
      <c r="L83" s="214"/>
      <c r="M83" s="214"/>
      <c r="N83" s="214"/>
      <c r="O83" s="215"/>
    </row>
    <row r="84" spans="7:15" x14ac:dyDescent="0.2">
      <c r="G84" s="222"/>
      <c r="H84" s="25"/>
      <c r="I84" s="25"/>
      <c r="J84" s="25"/>
      <c r="K84" s="25"/>
      <c r="L84" s="25"/>
      <c r="M84" s="25"/>
      <c r="N84" s="25"/>
      <c r="O84" s="223"/>
    </row>
  </sheetData>
  <autoFilter ref="A9:W33"/>
  <mergeCells count="7">
    <mergeCell ref="O8:Q8"/>
    <mergeCell ref="R8:T8"/>
    <mergeCell ref="G6:W6"/>
    <mergeCell ref="D2:H2"/>
    <mergeCell ref="D3:H3"/>
    <mergeCell ref="D4:H4"/>
    <mergeCell ref="D5:H5"/>
  </mergeCells>
  <pageMargins left="0.7" right="0.7" top="0.75" bottom="0.75" header="0.3" footer="0.3"/>
  <pageSetup scale="46" orientation="landscape" horizontalDpi="4294967293" verticalDpi="0" r:id="rId1"/>
  <headerFooter>
    <oddFooter>&amp;L&amp;Z&amp;F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 A C T I V E ! 1 5 6 5 1 9 7 6 . 1 < / d o c u m e n t i d >  
     < s e n d e r i d > K E A B E T < / s e n d e r i d >  
     < s e n d e r e m a i l > B K E A T I N G @ G U N S T E R . C O M < / s e n d e r e m a i l >  
     < l a s t m o d i f i e d > 2 0 2 2 - 0 6 - 2 1 T 1 9 : 2 2 : 4 4 . 0 0 0 0 0 0 0 - 0 4 : 0 0 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Amort. of Reg Liab UnPr</vt:lpstr>
      <vt:lpstr>Amortization of Reg Liab Pr</vt:lpstr>
      <vt:lpstr>Amort. of 25TX</vt:lpstr>
      <vt:lpstr>FT ADIT Before-After As IF</vt:lpstr>
      <vt:lpstr>FT Combined ARAM Summary</vt:lpstr>
      <vt:lpstr>FT-12-31-2018 TB</vt:lpstr>
      <vt:lpstr>FT-2018 RF</vt:lpstr>
      <vt:lpstr>FT ADIT B-A with 2018 Adj As If</vt:lpstr>
      <vt:lpstr>FT ADIT Before-After</vt:lpstr>
      <vt:lpstr>FT FED -  STATE </vt:lpstr>
      <vt:lpstr>FT-OTP Deferreds</vt:lpstr>
      <vt:lpstr>Tax Reform Entries TX-SPCL</vt:lpstr>
      <vt:lpstr>FT ADIT </vt:lpstr>
      <vt:lpstr>DATA</vt:lpstr>
      <vt:lpstr>Reg Liab</vt:lpstr>
      <vt:lpstr>DATA-Reg Liab</vt:lpstr>
      <vt:lpstr>Q1 Activity</vt:lpstr>
      <vt:lpstr>FT TB</vt:lpstr>
      <vt:lpstr>Q1 ADIT 2018</vt:lpstr>
      <vt:lpstr>ADIT</vt:lpstr>
      <vt:lpstr>ExpRecl&amp;GrossUp_FRUs</vt:lpstr>
      <vt:lpstr>ADIT!Print_Area</vt:lpstr>
      <vt:lpstr>'ExpRecl&amp;GrossUp_FRUs'!Print_Area</vt:lpstr>
      <vt:lpstr>ADIT!Print_Titles</vt:lpstr>
      <vt:lpstr>'ExpRecl&amp;GrossUp_FRUs'!Print_Titles</vt:lpstr>
      <vt:lpstr>'FT Combined ARAM Summary'!Print_Titles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Moir</dc:creator>
  <cp:lastModifiedBy>Onsomu, Philip</cp:lastModifiedBy>
  <cp:lastPrinted>2018-04-04T13:05:11Z</cp:lastPrinted>
  <dcterms:created xsi:type="dcterms:W3CDTF">2018-03-15T13:26:19Z</dcterms:created>
  <dcterms:modified xsi:type="dcterms:W3CDTF">2022-06-21T23:22:44Z</dcterms:modified>
</cp:coreProperties>
</file>