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\\sharepoint1\p_drive\Departments &amp; Divisions\Florida Regulatory\Rate Proceedings\2022 Natural Gas 20220067-GU\ROG's and POD's\OPC\ROG's 1-120\Filing\"/>
    </mc:Choice>
  </mc:AlternateContent>
  <bookViews>
    <workbookView xWindow="0" yWindow="0" windowWidth="25200" windowHeight="10950"/>
  </bookViews>
  <sheets>
    <sheet name="2021 Actual" sheetId="1" r:id="rId1"/>
    <sheet name="2020 Actual" sheetId="2" r:id="rId2"/>
  </sheets>
  <externalReferences>
    <externalReference r:id="rId3"/>
  </externalReferences>
  <definedNames>
    <definedName name="_Fill" localSheetId="1" hidden="1">#REF!</definedName>
    <definedName name="_Fill" localSheetId="0" hidden="1">#REF!</definedName>
    <definedName name="_Fill" hidden="1">#REF!</definedName>
    <definedName name="_Order1" hidden="1">255</definedName>
    <definedName name="FLOUNCOLLECT" localSheetId="1">#REF!</definedName>
    <definedName name="FLOUNCOLLECT" localSheetId="0">#REF!</definedName>
    <definedName name="FLOUNCOLLECT">#REF!</definedName>
    <definedName name="FPUNCOLLECT" localSheetId="1">#REF!</definedName>
    <definedName name="FPUNCOLLECT" localSheetId="0">#REF!</definedName>
    <definedName name="FPUNCOLLECT">#REF!</definedName>
    <definedName name="k" localSheetId="1">#REF!</definedName>
    <definedName name="k" localSheetId="0">#REF!</definedName>
    <definedName name="k">#REF!</definedName>
    <definedName name="_xlnm.Print_Area" localSheetId="1">'2020 Actual'!$A$1:$P$71</definedName>
    <definedName name="_xlnm.Print_Area" localSheetId="0">'2021 Actual'!$A$1:$P$71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1" i="2" l="1"/>
  <c r="E81" i="2"/>
  <c r="F82" i="2" s="1"/>
  <c r="F77" i="2"/>
  <c r="F76" i="2"/>
  <c r="E76" i="2"/>
  <c r="D66" i="2"/>
  <c r="O64" i="2"/>
  <c r="O66" i="2" s="1"/>
  <c r="N64" i="2"/>
  <c r="N66" i="2" s="1"/>
  <c r="M64" i="2"/>
  <c r="M66" i="2" s="1"/>
  <c r="L64" i="2"/>
  <c r="L66" i="2" s="1"/>
  <c r="K64" i="2"/>
  <c r="K66" i="2" s="1"/>
  <c r="J64" i="2"/>
  <c r="J66" i="2" s="1"/>
  <c r="I64" i="2"/>
  <c r="I66" i="2" s="1"/>
  <c r="H64" i="2"/>
  <c r="H66" i="2" s="1"/>
  <c r="G64" i="2"/>
  <c r="G66" i="2" s="1"/>
  <c r="F64" i="2"/>
  <c r="F66" i="2" s="1"/>
  <c r="E64" i="2"/>
  <c r="E66" i="2" s="1"/>
  <c r="D60" i="2"/>
  <c r="O55" i="2"/>
  <c r="N55" i="2"/>
  <c r="M55" i="2"/>
  <c r="L55" i="2"/>
  <c r="K55" i="2"/>
  <c r="J55" i="2"/>
  <c r="I55" i="2"/>
  <c r="H55" i="2"/>
  <c r="G55" i="2"/>
  <c r="F55" i="2"/>
  <c r="E55" i="2"/>
  <c r="D55" i="2"/>
  <c r="P53" i="2"/>
  <c r="P45" i="2"/>
  <c r="P44" i="2"/>
  <c r="M34" i="2"/>
  <c r="N34" i="2" s="1"/>
  <c r="O34" i="2" s="1"/>
  <c r="J34" i="2"/>
  <c r="K34" i="2" s="1"/>
  <c r="L34" i="2" s="1"/>
  <c r="E34" i="2"/>
  <c r="F34" i="2" s="1"/>
  <c r="G34" i="2" s="1"/>
  <c r="H34" i="2" s="1"/>
  <c r="I34" i="2" s="1"/>
  <c r="H33" i="2"/>
  <c r="I33" i="2" s="1"/>
  <c r="J33" i="2" s="1"/>
  <c r="K33" i="2" s="1"/>
  <c r="L33" i="2" s="1"/>
  <c r="M33" i="2" s="1"/>
  <c r="N33" i="2" s="1"/>
  <c r="O33" i="2" s="1"/>
  <c r="E33" i="2"/>
  <c r="F33" i="2" s="1"/>
  <c r="G33" i="2" s="1"/>
  <c r="E30" i="2"/>
  <c r="F30" i="2" s="1"/>
  <c r="G30" i="2" s="1"/>
  <c r="H30" i="2" s="1"/>
  <c r="I30" i="2" s="1"/>
  <c r="J30" i="2" s="1"/>
  <c r="K30" i="2" s="1"/>
  <c r="L30" i="2" s="1"/>
  <c r="M30" i="2" s="1"/>
  <c r="N30" i="2" s="1"/>
  <c r="O30" i="2" s="1"/>
  <c r="F29" i="2"/>
  <c r="G29" i="2" s="1"/>
  <c r="H29" i="2" s="1"/>
  <c r="I29" i="2" s="1"/>
  <c r="J29" i="2" s="1"/>
  <c r="K29" i="2" s="1"/>
  <c r="L29" i="2" s="1"/>
  <c r="M29" i="2" s="1"/>
  <c r="N29" i="2" s="1"/>
  <c r="O29" i="2" s="1"/>
  <c r="E29" i="2"/>
  <c r="E20" i="2"/>
  <c r="D20" i="2"/>
  <c r="E42" i="2" s="1"/>
  <c r="D42" i="2"/>
  <c r="D18" i="2"/>
  <c r="E18" i="2" s="1"/>
  <c r="F18" i="2" s="1"/>
  <c r="G18" i="2" s="1"/>
  <c r="H18" i="2" s="1"/>
  <c r="I18" i="2" s="1"/>
  <c r="J18" i="2" s="1"/>
  <c r="K18" i="2" s="1"/>
  <c r="L18" i="2" s="1"/>
  <c r="M18" i="2" s="1"/>
  <c r="N18" i="2" s="1"/>
  <c r="O18" i="2" s="1"/>
  <c r="P18" i="2" s="1"/>
  <c r="C18" i="1" s="1"/>
  <c r="C21" i="2"/>
  <c r="P14" i="2"/>
  <c r="P13" i="2"/>
  <c r="C13" i="1" s="1"/>
  <c r="P13" i="1" s="1"/>
  <c r="O12" i="2"/>
  <c r="N12" i="2"/>
  <c r="M12" i="2"/>
  <c r="L12" i="2"/>
  <c r="K12" i="2"/>
  <c r="J12" i="2"/>
  <c r="I12" i="2"/>
  <c r="H12" i="2"/>
  <c r="G12" i="2"/>
  <c r="F12" i="2"/>
  <c r="E12" i="2"/>
  <c r="D12" i="2"/>
  <c r="P12" i="2" s="1"/>
  <c r="C12" i="1" s="1"/>
  <c r="P11" i="2"/>
  <c r="C11" i="1" s="1"/>
  <c r="P11" i="1" s="1"/>
  <c r="O10" i="2"/>
  <c r="N10" i="2"/>
  <c r="M10" i="2"/>
  <c r="L10" i="2"/>
  <c r="K10" i="2"/>
  <c r="J10" i="2"/>
  <c r="I10" i="2"/>
  <c r="H10" i="2"/>
  <c r="G10" i="2"/>
  <c r="F10" i="2"/>
  <c r="E10" i="2"/>
  <c r="D10" i="2"/>
  <c r="D17" i="2" s="1"/>
  <c r="P9" i="2"/>
  <c r="F81" i="1"/>
  <c r="E81" i="1"/>
  <c r="F76" i="1"/>
  <c r="E76" i="1"/>
  <c r="F77" i="1" s="1"/>
  <c r="O64" i="1"/>
  <c r="N64" i="1"/>
  <c r="M64" i="1"/>
  <c r="L64" i="1"/>
  <c r="K64" i="1"/>
  <c r="J64" i="1"/>
  <c r="I64" i="1"/>
  <c r="H64" i="1"/>
  <c r="G64" i="1"/>
  <c r="F64" i="1"/>
  <c r="E64" i="1"/>
  <c r="D64" i="1"/>
  <c r="C60" i="1"/>
  <c r="O55" i="1"/>
  <c r="N55" i="1"/>
  <c r="M55" i="1"/>
  <c r="L55" i="1"/>
  <c r="K55" i="1"/>
  <c r="J55" i="1"/>
  <c r="I55" i="1"/>
  <c r="H55" i="1"/>
  <c r="G55" i="1"/>
  <c r="F55" i="1"/>
  <c r="E55" i="1"/>
  <c r="D55" i="1"/>
  <c r="P53" i="1"/>
  <c r="P45" i="1"/>
  <c r="P44" i="1"/>
  <c r="E34" i="1"/>
  <c r="F34" i="1" s="1"/>
  <c r="G34" i="1" s="1"/>
  <c r="H34" i="1" s="1"/>
  <c r="I34" i="1" s="1"/>
  <c r="J34" i="1" s="1"/>
  <c r="K34" i="1" s="1"/>
  <c r="L34" i="1" s="1"/>
  <c r="M34" i="1" s="1"/>
  <c r="N34" i="1" s="1"/>
  <c r="O34" i="1" s="1"/>
  <c r="E33" i="1"/>
  <c r="F33" i="1" s="1"/>
  <c r="G33" i="1" s="1"/>
  <c r="H33" i="1" s="1"/>
  <c r="I33" i="1" s="1"/>
  <c r="J33" i="1" s="1"/>
  <c r="K33" i="1" s="1"/>
  <c r="L33" i="1" s="1"/>
  <c r="M33" i="1" s="1"/>
  <c r="N33" i="1" s="1"/>
  <c r="O33" i="1" s="1"/>
  <c r="F30" i="1"/>
  <c r="G30" i="1" s="1"/>
  <c r="H30" i="1" s="1"/>
  <c r="I30" i="1" s="1"/>
  <c r="J30" i="1" s="1"/>
  <c r="K30" i="1" s="1"/>
  <c r="L30" i="1" s="1"/>
  <c r="M30" i="1" s="1"/>
  <c r="N30" i="1" s="1"/>
  <c r="O30" i="1" s="1"/>
  <c r="E30" i="1"/>
  <c r="F29" i="1"/>
  <c r="G29" i="1" s="1"/>
  <c r="H29" i="1" s="1"/>
  <c r="I29" i="1" s="1"/>
  <c r="J29" i="1" s="1"/>
  <c r="K29" i="1" s="1"/>
  <c r="L29" i="1" s="1"/>
  <c r="M29" i="1" s="1"/>
  <c r="N29" i="1" s="1"/>
  <c r="O29" i="1" s="1"/>
  <c r="E29" i="1"/>
  <c r="P14" i="1"/>
  <c r="C14" i="1"/>
  <c r="O12" i="1"/>
  <c r="N12" i="1"/>
  <c r="M12" i="1"/>
  <c r="L12" i="1"/>
  <c r="K12" i="1"/>
  <c r="J12" i="1"/>
  <c r="I12" i="1"/>
  <c r="H12" i="1"/>
  <c r="G12" i="1"/>
  <c r="F12" i="1"/>
  <c r="E12" i="1"/>
  <c r="D12" i="1"/>
  <c r="P12" i="1" s="1"/>
  <c r="O10" i="1"/>
  <c r="N10" i="1"/>
  <c r="M10" i="1"/>
  <c r="L10" i="1"/>
  <c r="K10" i="1"/>
  <c r="J10" i="1"/>
  <c r="I10" i="1"/>
  <c r="H10" i="1"/>
  <c r="G10" i="1"/>
  <c r="F10" i="1"/>
  <c r="E10" i="1"/>
  <c r="D10" i="1"/>
  <c r="C9" i="1" l="1"/>
  <c r="D18" i="1"/>
  <c r="E18" i="1" s="1"/>
  <c r="F18" i="1" s="1"/>
  <c r="G18" i="1" s="1"/>
  <c r="H18" i="1" s="1"/>
  <c r="I18" i="1" s="1"/>
  <c r="J18" i="1" s="1"/>
  <c r="K18" i="1" s="1"/>
  <c r="L18" i="1" s="1"/>
  <c r="M18" i="1" s="1"/>
  <c r="N18" i="1" s="1"/>
  <c r="O18" i="1" s="1"/>
  <c r="P18" i="1" s="1"/>
  <c r="E17" i="2"/>
  <c r="C15" i="2"/>
  <c r="D15" i="2" s="1"/>
  <c r="F17" i="2"/>
  <c r="G17" i="2" s="1"/>
  <c r="F20" i="2"/>
  <c r="F42" i="2"/>
  <c r="F82" i="1"/>
  <c r="P10" i="2"/>
  <c r="C10" i="1" s="1"/>
  <c r="P10" i="1" s="1"/>
  <c r="C24" i="2"/>
  <c r="C5" i="2"/>
  <c r="D41" i="2"/>
  <c r="D19" i="2"/>
  <c r="C59" i="2"/>
  <c r="H17" i="2" l="1"/>
  <c r="D5" i="2"/>
  <c r="O43" i="2"/>
  <c r="K43" i="2"/>
  <c r="G43" i="2"/>
  <c r="D26" i="2"/>
  <c r="N43" i="2"/>
  <c r="J43" i="2"/>
  <c r="F43" i="2"/>
  <c r="L43" i="2"/>
  <c r="D43" i="2"/>
  <c r="I43" i="2"/>
  <c r="H43" i="2"/>
  <c r="M43" i="2"/>
  <c r="E43" i="2"/>
  <c r="E15" i="2"/>
  <c r="E21" i="2"/>
  <c r="P15" i="2"/>
  <c r="C15" i="1"/>
  <c r="D15" i="1" s="1"/>
  <c r="P9" i="1"/>
  <c r="P15" i="1" s="1"/>
  <c r="E41" i="2"/>
  <c r="E46" i="2" s="1"/>
  <c r="E19" i="2"/>
  <c r="D21" i="2"/>
  <c r="D24" i="2" s="1"/>
  <c r="D46" i="2"/>
  <c r="D23" i="2"/>
  <c r="G20" i="2"/>
  <c r="G42" i="2"/>
  <c r="D36" i="2" l="1"/>
  <c r="D37" i="2"/>
  <c r="H42" i="2"/>
  <c r="H20" i="2"/>
  <c r="E15" i="1"/>
  <c r="E5" i="2"/>
  <c r="F15" i="2"/>
  <c r="I17" i="2"/>
  <c r="E23" i="2"/>
  <c r="F41" i="2"/>
  <c r="F46" i="2" s="1"/>
  <c r="F19" i="2"/>
  <c r="P43" i="2"/>
  <c r="F23" i="2" l="1"/>
  <c r="G15" i="2"/>
  <c r="I42" i="2"/>
  <c r="I20" i="2"/>
  <c r="D38" i="2"/>
  <c r="D48" i="2" s="1"/>
  <c r="D57" i="2" s="1"/>
  <c r="G19" i="2"/>
  <c r="G41" i="2"/>
  <c r="G46" i="2" s="1"/>
  <c r="F21" i="2"/>
  <c r="F24" i="2" s="1"/>
  <c r="J17" i="2"/>
  <c r="F15" i="1"/>
  <c r="E24" i="2"/>
  <c r="G15" i="1" l="1"/>
  <c r="G26" i="2"/>
  <c r="G5" i="2"/>
  <c r="H15" i="2"/>
  <c r="K17" i="2"/>
  <c r="H41" i="2"/>
  <c r="H46" i="2" s="1"/>
  <c r="H19" i="2"/>
  <c r="G21" i="2"/>
  <c r="G24" i="2" s="1"/>
  <c r="J20" i="2"/>
  <c r="J42" i="2"/>
  <c r="G23" i="2"/>
  <c r="D58" i="2"/>
  <c r="F5" i="2"/>
  <c r="F26" i="2"/>
  <c r="E26" i="2"/>
  <c r="K20" i="2" l="1"/>
  <c r="K42" i="2"/>
  <c r="L17" i="2"/>
  <c r="D59" i="2"/>
  <c r="D61" i="2" s="1"/>
  <c r="H15" i="1"/>
  <c r="E36" i="2"/>
  <c r="E37" i="2"/>
  <c r="F37" i="2"/>
  <c r="F36" i="2"/>
  <c r="F38" i="2" s="1"/>
  <c r="F48" i="2" s="1"/>
  <c r="F57" i="2" s="1"/>
  <c r="G37" i="2"/>
  <c r="G36" i="2"/>
  <c r="H23" i="2"/>
  <c r="I41" i="2"/>
  <c r="I46" i="2" s="1"/>
  <c r="I19" i="2"/>
  <c r="H21" i="2"/>
  <c r="H5" i="2"/>
  <c r="I15" i="2"/>
  <c r="E38" i="2" l="1"/>
  <c r="E48" i="2" s="1"/>
  <c r="E57" i="2" s="1"/>
  <c r="J15" i="2"/>
  <c r="I5" i="2"/>
  <c r="L42" i="2"/>
  <c r="L20" i="2"/>
  <c r="I23" i="2"/>
  <c r="J23" i="2" s="1"/>
  <c r="I15" i="1"/>
  <c r="M17" i="2"/>
  <c r="H24" i="2"/>
  <c r="J19" i="2"/>
  <c r="J41" i="2"/>
  <c r="J46" i="2" s="1"/>
  <c r="I21" i="2"/>
  <c r="I24" i="2" s="1"/>
  <c r="G38" i="2"/>
  <c r="G48" i="2" s="1"/>
  <c r="G57" i="2" s="1"/>
  <c r="I26" i="2" l="1"/>
  <c r="H26" i="2"/>
  <c r="N17" i="2"/>
  <c r="M42" i="2"/>
  <c r="M20" i="2"/>
  <c r="K23" i="2"/>
  <c r="K15" i="2"/>
  <c r="K41" i="2"/>
  <c r="K46" i="2" s="1"/>
  <c r="K19" i="2"/>
  <c r="J21" i="2"/>
  <c r="J24" i="2" s="1"/>
  <c r="J26" i="2" s="1"/>
  <c r="J15" i="1"/>
  <c r="E58" i="2"/>
  <c r="J37" i="2" l="1"/>
  <c r="J36" i="2"/>
  <c r="J38" i="2" s="1"/>
  <c r="J48" i="2" s="1"/>
  <c r="J57" i="2" s="1"/>
  <c r="J5" i="2"/>
  <c r="L41" i="2"/>
  <c r="L46" i="2" s="1"/>
  <c r="L19" i="2"/>
  <c r="K21" i="2"/>
  <c r="K24" i="2" s="1"/>
  <c r="K15" i="1"/>
  <c r="N20" i="2"/>
  <c r="N42" i="2"/>
  <c r="K26" i="2"/>
  <c r="O17" i="2"/>
  <c r="I36" i="2"/>
  <c r="I37" i="2"/>
  <c r="L23" i="2"/>
  <c r="E59" i="2"/>
  <c r="L15" i="2"/>
  <c r="K5" i="2"/>
  <c r="H36" i="2"/>
  <c r="H37" i="2"/>
  <c r="P17" i="2" l="1"/>
  <c r="H38" i="2"/>
  <c r="H48" i="2" s="1"/>
  <c r="H57" i="2" s="1"/>
  <c r="L15" i="1"/>
  <c r="E61" i="2"/>
  <c r="F59" i="2"/>
  <c r="F58" i="2"/>
  <c r="O20" i="2"/>
  <c r="P20" i="2" s="1"/>
  <c r="C20" i="1" s="1"/>
  <c r="O42" i="2"/>
  <c r="P42" i="2" s="1"/>
  <c r="M41" i="2"/>
  <c r="M46" i="2" s="1"/>
  <c r="M19" i="2"/>
  <c r="L21" i="2"/>
  <c r="L24" i="2" s="1"/>
  <c r="K37" i="2"/>
  <c r="K36" i="2"/>
  <c r="L5" i="2"/>
  <c r="M15" i="2"/>
  <c r="I38" i="2"/>
  <c r="I48" i="2" s="1"/>
  <c r="I57" i="2" s="1"/>
  <c r="D42" i="1" l="1"/>
  <c r="D20" i="1"/>
  <c r="C17" i="1"/>
  <c r="F61" i="2"/>
  <c r="G58" i="2"/>
  <c r="G59" i="2"/>
  <c r="G61" i="2" s="1"/>
  <c r="M5" i="2"/>
  <c r="N15" i="2"/>
  <c r="M23" i="2"/>
  <c r="M15" i="1"/>
  <c r="L26" i="2"/>
  <c r="K38" i="2"/>
  <c r="K48" i="2" s="1"/>
  <c r="K57" i="2" s="1"/>
  <c r="N41" i="2"/>
  <c r="N46" i="2" s="1"/>
  <c r="N19" i="2"/>
  <c r="M21" i="2"/>
  <c r="N15" i="1" l="1"/>
  <c r="E42" i="1"/>
  <c r="E20" i="1"/>
  <c r="H58" i="2"/>
  <c r="O19" i="2"/>
  <c r="O41" i="2"/>
  <c r="N21" i="2"/>
  <c r="N23" i="2"/>
  <c r="O23" i="2" s="1"/>
  <c r="P23" i="2" s="1"/>
  <c r="C23" i="1" s="1"/>
  <c r="M24" i="2"/>
  <c r="L36" i="2"/>
  <c r="L37" i="2"/>
  <c r="N5" i="2"/>
  <c r="O15" i="2"/>
  <c r="D17" i="1"/>
  <c r="H59" i="2"/>
  <c r="O15" i="1" l="1"/>
  <c r="M26" i="2"/>
  <c r="P19" i="2"/>
  <c r="O21" i="2"/>
  <c r="O24" i="2" s="1"/>
  <c r="F42" i="1"/>
  <c r="F20" i="1"/>
  <c r="H61" i="2"/>
  <c r="I59" i="2"/>
  <c r="I58" i="2"/>
  <c r="E17" i="1"/>
  <c r="N24" i="2"/>
  <c r="L38" i="2"/>
  <c r="L48" i="2" s="1"/>
  <c r="L57" i="2" s="1"/>
  <c r="O46" i="2"/>
  <c r="P41" i="2"/>
  <c r="P46" i="2" s="1"/>
  <c r="F17" i="1" l="1"/>
  <c r="I61" i="2"/>
  <c r="J58" i="2"/>
  <c r="J59" i="2"/>
  <c r="O5" i="2"/>
  <c r="C19" i="1"/>
  <c r="P21" i="2"/>
  <c r="P24" i="2" s="1"/>
  <c r="G20" i="1"/>
  <c r="G42" i="1"/>
  <c r="M36" i="2"/>
  <c r="M38" i="2" s="1"/>
  <c r="M48" i="2" s="1"/>
  <c r="M57" i="2" s="1"/>
  <c r="M37" i="2"/>
  <c r="O26" i="2"/>
  <c r="N26" i="2"/>
  <c r="N69" i="2" l="1"/>
  <c r="D41" i="1"/>
  <c r="D19" i="1"/>
  <c r="C21" i="1"/>
  <c r="N37" i="2"/>
  <c r="N36" i="2"/>
  <c r="N38" i="2" s="1"/>
  <c r="N48" i="2" s="1"/>
  <c r="N57" i="2" s="1"/>
  <c r="G17" i="1"/>
  <c r="O37" i="2"/>
  <c r="P37" i="2" s="1"/>
  <c r="O36" i="2"/>
  <c r="H42" i="1"/>
  <c r="H20" i="1"/>
  <c r="J61" i="2"/>
  <c r="K59" i="2"/>
  <c r="K58" i="2"/>
  <c r="K61" i="2" l="1"/>
  <c r="L58" i="2"/>
  <c r="O38" i="2"/>
  <c r="O48" i="2" s="1"/>
  <c r="O57" i="2" s="1"/>
  <c r="P36" i="2"/>
  <c r="P38" i="2" s="1"/>
  <c r="P48" i="2" s="1"/>
  <c r="D23" i="1"/>
  <c r="E23" i="1" s="1"/>
  <c r="I20" i="1"/>
  <c r="I42" i="1"/>
  <c r="H17" i="1"/>
  <c r="C24" i="1"/>
  <c r="C5" i="1"/>
  <c r="E41" i="1"/>
  <c r="E19" i="1"/>
  <c r="D21" i="1"/>
  <c r="P57" i="2" l="1"/>
  <c r="C57" i="1" s="1"/>
  <c r="D24" i="1"/>
  <c r="D5" i="1"/>
  <c r="M43" i="1"/>
  <c r="I43" i="1"/>
  <c r="E43" i="1"/>
  <c r="K43" i="1"/>
  <c r="F43" i="1"/>
  <c r="N43" i="1"/>
  <c r="G43" i="1"/>
  <c r="O43" i="1"/>
  <c r="L43" i="1"/>
  <c r="D43" i="1"/>
  <c r="D26" i="1"/>
  <c r="J43" i="1"/>
  <c r="H43" i="1"/>
  <c r="J42" i="1"/>
  <c r="J20" i="1"/>
  <c r="F19" i="1"/>
  <c r="F41" i="1"/>
  <c r="E21" i="1"/>
  <c r="I17" i="1"/>
  <c r="F23" i="1"/>
  <c r="L59" i="2"/>
  <c r="E46" i="1"/>
  <c r="K20" i="1" l="1"/>
  <c r="K42" i="1"/>
  <c r="D37" i="1"/>
  <c r="D36" i="1"/>
  <c r="L61" i="2"/>
  <c r="M58" i="2"/>
  <c r="N70" i="2" s="1"/>
  <c r="M59" i="2"/>
  <c r="E24" i="1"/>
  <c r="E5" i="1"/>
  <c r="P43" i="1"/>
  <c r="D46" i="1"/>
  <c r="F46" i="1"/>
  <c r="J17" i="1"/>
  <c r="G41" i="1"/>
  <c r="G46" i="1" s="1"/>
  <c r="G19" i="1"/>
  <c r="F21" i="1"/>
  <c r="M61" i="2" l="1"/>
  <c r="N58" i="2"/>
  <c r="N59" i="2"/>
  <c r="D38" i="1"/>
  <c r="D48" i="1" s="1"/>
  <c r="D57" i="1" s="1"/>
  <c r="K17" i="1"/>
  <c r="G23" i="1"/>
  <c r="F24" i="1"/>
  <c r="F5" i="1"/>
  <c r="H41" i="1"/>
  <c r="H46" i="1" s="1"/>
  <c r="H19" i="1"/>
  <c r="G21" i="1"/>
  <c r="F26" i="1"/>
  <c r="E26" i="1"/>
  <c r="L42" i="1"/>
  <c r="L20" i="1"/>
  <c r="F37" i="1" l="1"/>
  <c r="F36" i="1"/>
  <c r="F38" i="1" s="1"/>
  <c r="F48" i="1" s="1"/>
  <c r="F57" i="1" s="1"/>
  <c r="H23" i="1"/>
  <c r="I23" i="1" s="1"/>
  <c r="M42" i="1"/>
  <c r="M20" i="1"/>
  <c r="L17" i="1"/>
  <c r="N61" i="2"/>
  <c r="O58" i="2"/>
  <c r="P58" i="2" s="1"/>
  <c r="C58" i="1" s="1"/>
  <c r="G24" i="1"/>
  <c r="G5" i="1"/>
  <c r="E36" i="1"/>
  <c r="E37" i="1"/>
  <c r="I41" i="1"/>
  <c r="I46" i="1" s="1"/>
  <c r="I19" i="1"/>
  <c r="H21" i="1"/>
  <c r="H26" i="1" l="1"/>
  <c r="M17" i="1"/>
  <c r="H24" i="1"/>
  <c r="H5" i="1"/>
  <c r="E38" i="1"/>
  <c r="E48" i="1" s="1"/>
  <c r="E57" i="1" s="1"/>
  <c r="C59" i="1"/>
  <c r="J41" i="1"/>
  <c r="J19" i="1"/>
  <c r="I21" i="1"/>
  <c r="G26" i="1"/>
  <c r="O59" i="2"/>
  <c r="N42" i="1"/>
  <c r="N20" i="1"/>
  <c r="P59" i="2" l="1"/>
  <c r="O61" i="2"/>
  <c r="J46" i="1"/>
  <c r="N17" i="1"/>
  <c r="G36" i="1"/>
  <c r="G37" i="1"/>
  <c r="J23" i="1"/>
  <c r="I24" i="1"/>
  <c r="I5" i="1"/>
  <c r="C61" i="1"/>
  <c r="D58" i="1"/>
  <c r="H37" i="1"/>
  <c r="H36" i="1"/>
  <c r="H38" i="1" s="1"/>
  <c r="H48" i="1" s="1"/>
  <c r="H57" i="1" s="1"/>
  <c r="O42" i="1"/>
  <c r="P42" i="1" s="1"/>
  <c r="O20" i="1"/>
  <c r="P20" i="1" s="1"/>
  <c r="K41" i="1"/>
  <c r="K46" i="1" s="1"/>
  <c r="K19" i="1"/>
  <c r="J21" i="1"/>
  <c r="I26" i="1"/>
  <c r="L41" i="1" l="1"/>
  <c r="L46" i="1" s="1"/>
  <c r="L19" i="1"/>
  <c r="K21" i="1"/>
  <c r="I37" i="1"/>
  <c r="I36" i="1"/>
  <c r="I38" i="1" s="1"/>
  <c r="I48" i="1" s="1"/>
  <c r="I57" i="1" s="1"/>
  <c r="O17" i="1"/>
  <c r="G38" i="1"/>
  <c r="G48" i="1" s="1"/>
  <c r="G57" i="1" s="1"/>
  <c r="J24" i="1"/>
  <c r="J5" i="1"/>
  <c r="D59" i="1"/>
  <c r="K23" i="1"/>
  <c r="L23" i="1" s="1"/>
  <c r="D61" i="1" l="1"/>
  <c r="E58" i="1"/>
  <c r="E59" i="1"/>
  <c r="M19" i="1"/>
  <c r="M41" i="1"/>
  <c r="M46" i="1" s="1"/>
  <c r="L21" i="1"/>
  <c r="P17" i="1"/>
  <c r="K24" i="1"/>
  <c r="K5" i="1"/>
  <c r="K26" i="1"/>
  <c r="M23" i="1"/>
  <c r="J26" i="1"/>
  <c r="K36" i="1" l="1"/>
  <c r="K37" i="1"/>
  <c r="N41" i="1"/>
  <c r="N46" i="1" s="1"/>
  <c r="N19" i="1"/>
  <c r="M21" i="1"/>
  <c r="E61" i="1"/>
  <c r="F59" i="1"/>
  <c r="F58" i="1"/>
  <c r="J37" i="1"/>
  <c r="J36" i="1"/>
  <c r="L26" i="1"/>
  <c r="L24" i="1"/>
  <c r="L5" i="1"/>
  <c r="L36" i="1" l="1"/>
  <c r="L37" i="1"/>
  <c r="F61" i="1"/>
  <c r="G58" i="1"/>
  <c r="J38" i="1"/>
  <c r="J48" i="1" s="1"/>
  <c r="J57" i="1" s="1"/>
  <c r="M24" i="1"/>
  <c r="M5" i="1"/>
  <c r="M26" i="1"/>
  <c r="N23" i="1"/>
  <c r="O23" i="1" s="1"/>
  <c r="P23" i="1" s="1"/>
  <c r="O41" i="1"/>
  <c r="O19" i="1"/>
  <c r="N21" i="1"/>
  <c r="K38" i="1"/>
  <c r="K48" i="1" s="1"/>
  <c r="K57" i="1" s="1"/>
  <c r="N24" i="1" l="1"/>
  <c r="N5" i="1"/>
  <c r="M37" i="1"/>
  <c r="M36" i="1"/>
  <c r="P19" i="1"/>
  <c r="P21" i="1" s="1"/>
  <c r="P24" i="1" s="1"/>
  <c r="O21" i="1"/>
  <c r="O46" i="1"/>
  <c r="P41" i="1"/>
  <c r="P46" i="1" s="1"/>
  <c r="N26" i="1"/>
  <c r="G59" i="1"/>
  <c r="L38" i="1"/>
  <c r="L48" i="1" s="1"/>
  <c r="L57" i="1" s="1"/>
  <c r="G61" i="1" l="1"/>
  <c r="H58" i="1"/>
  <c r="O24" i="1"/>
  <c r="O26" i="1" s="1"/>
  <c r="O5" i="1"/>
  <c r="N37" i="1"/>
  <c r="N36" i="1"/>
  <c r="N38" i="1" s="1"/>
  <c r="N48" i="1" s="1"/>
  <c r="N57" i="1" s="1"/>
  <c r="M38" i="1"/>
  <c r="M48" i="1" s="1"/>
  <c r="M57" i="1" s="1"/>
  <c r="O37" i="1" l="1"/>
  <c r="P37" i="1" s="1"/>
  <c r="O36" i="1"/>
  <c r="H59" i="1"/>
  <c r="N69" i="1"/>
  <c r="H61" i="1" l="1"/>
  <c r="I58" i="1"/>
  <c r="O38" i="1"/>
  <c r="O48" i="1" s="1"/>
  <c r="O57" i="1" s="1"/>
  <c r="P36" i="1"/>
  <c r="P38" i="1" s="1"/>
  <c r="P48" i="1" s="1"/>
  <c r="P57" i="1" l="1"/>
  <c r="I59" i="1"/>
  <c r="I61" i="1" l="1"/>
  <c r="J58" i="1"/>
  <c r="J59" i="1"/>
  <c r="J61" i="1" l="1"/>
  <c r="K58" i="1"/>
  <c r="K59" i="1" l="1"/>
  <c r="K61" i="1" l="1"/>
  <c r="L58" i="1"/>
  <c r="L59" i="1"/>
  <c r="L61" i="1" l="1"/>
  <c r="M58" i="1"/>
  <c r="N70" i="1" s="1"/>
  <c r="M59" i="1" l="1"/>
  <c r="M61" i="1" l="1"/>
  <c r="N58" i="1"/>
  <c r="N59" i="1" s="1"/>
  <c r="N61" i="1" l="1"/>
  <c r="O58" i="1"/>
  <c r="P58" i="1" s="1"/>
  <c r="O59" i="1"/>
  <c r="O61" i="1" l="1"/>
  <c r="P59" i="1"/>
</calcChain>
</file>

<file path=xl/comments1.xml><?xml version="1.0" encoding="utf-8"?>
<comments xmlns="http://schemas.openxmlformats.org/spreadsheetml/2006/main">
  <authors>
    <author>Edwards, Moir</author>
    <author>cheryl_martin</author>
  </authors>
  <commentList>
    <comment ref="B9" authorId="0" shapeId="0">
      <text>
        <r>
          <rPr>
            <b/>
            <sz val="9"/>
            <color indexed="81"/>
            <rFont val="Tahoma"/>
            <family val="2"/>
          </rPr>
          <t>kbaker:                           Monthly GRIP Expenditures.  All Expenses charged to GRIP Mains Projects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 xml:space="preserve">kbaker:                         Total GRIP Mains Capital Expenditures closed to plant in current month (CR 1070 DB 1010)
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>kbaker:                           Monthly GRIP Expenditures.  All Expenses charged to GRIP Services Projects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</rPr>
          <t>kbaker:                         Total GRIP Services Capital Expenditures closed to plant in current month (CR 1070 DB 1010)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kbaker:                               Total addition to the 1010 376G account for the current month</t>
        </r>
      </text>
    </comment>
    <comment ref="B14" authorId="0" shapeId="0">
      <text>
        <r>
          <rPr>
            <b/>
            <sz val="9"/>
            <color indexed="81"/>
            <rFont val="Tahoma"/>
            <family val="2"/>
          </rPr>
          <t>kbaker:                               Total addition to the 1010 380G account for the current month</t>
        </r>
      </text>
    </comment>
    <comment ref="B19" authorId="0" shapeId="0">
      <text>
        <r>
          <rPr>
            <b/>
            <sz val="9"/>
            <color indexed="81"/>
            <rFont val="Tahoma"/>
            <family val="2"/>
          </rPr>
          <t>kbaker:
Total fixed assets in account 376G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 xml:space="preserve">kbaker:
Total fixed assets in account 380G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Total AD rolled forward from 2014 plus current months AD booked based on the previous month's asset balance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 xml:space="preserve">kbaker:
Rate based on 2014 depreciation study
</t>
        </r>
      </text>
    </comment>
    <comment ref="B30" authorId="0" shapeId="0">
      <text>
        <r>
          <rPr>
            <b/>
            <sz val="9"/>
            <color indexed="81"/>
            <rFont val="Tahoma"/>
            <family val="2"/>
          </rPr>
          <t>kbaker:
Rate based on 2014 depreciation study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kbaker:
Provided by Regulatory based on previous years ESR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kbaker:
Provided by Regulatory based on previous years ESR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kbaker:
Average Net Qualified Investment for current month multiplied by the Equity-Cost of Capital Rate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 xml:space="preserve">kbaker:
Average Net Qualified Investment for current month multiplied by the Debt-Cost of Capital Rate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kbaker:
Previous month's 376G plant balance multiplied by deprecation rate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kbaker:
Previous month's 380G plant balance multiplied by deprecation rate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1" shapeId="0">
      <text>
        <r>
          <rPr>
            <b/>
            <sz val="10"/>
            <color indexed="81"/>
            <rFont val="Tahoma"/>
            <family val="2"/>
          </rPr>
          <t>cheryl_martin:</t>
        </r>
        <r>
          <rPr>
            <sz val="10"/>
            <color indexed="81"/>
            <rFont val="Tahoma"/>
            <family val="2"/>
          </rPr>
          <t xml:space="preserve">
CF00.GP400.7090.9130</t>
        </r>
      </text>
    </comment>
    <comment ref="B45" authorId="1" shapeId="0">
      <text>
        <r>
          <rPr>
            <b/>
            <sz val="10"/>
            <color indexed="81"/>
            <rFont val="Tahoma"/>
            <family val="2"/>
          </rPr>
          <t>cheryl_martin:</t>
        </r>
        <r>
          <rPr>
            <sz val="10"/>
            <color indexed="81"/>
            <rFont val="Tahoma"/>
            <family val="2"/>
          </rPr>
          <t xml:space="preserve">
CF00.GP400.7020.9130</t>
        </r>
      </text>
    </comment>
    <comment ref="B53" authorId="0" shapeId="0">
      <text>
        <r>
          <rPr>
            <b/>
            <sz val="9"/>
            <color indexed="81"/>
            <rFont val="Tahoma"/>
            <family val="2"/>
          </rPr>
          <t>kabaker:
Amount billed through ECIS as surchage to customers monthly</t>
        </r>
      </text>
    </comment>
    <comment ref="B54" authorId="0" shapeId="0">
      <text>
        <r>
          <rPr>
            <b/>
            <sz val="9"/>
            <color indexed="81"/>
            <rFont val="Tahoma"/>
            <family val="2"/>
          </rPr>
          <t xml:space="preserve">Grossed Up for the PSC assessment to be paid each year
</t>
        </r>
      </text>
    </comment>
  </commentList>
</comments>
</file>

<file path=xl/comments2.xml><?xml version="1.0" encoding="utf-8"?>
<comments xmlns="http://schemas.openxmlformats.org/spreadsheetml/2006/main">
  <authors>
    <author>Edwards, Moir</author>
    <author>cheryl_martin</author>
  </authors>
  <commentList>
    <comment ref="B9" authorId="0" shapeId="0">
      <text>
        <r>
          <rPr>
            <b/>
            <sz val="9"/>
            <color indexed="81"/>
            <rFont val="Tahoma"/>
            <family val="2"/>
          </rPr>
          <t>kbaker:                           Monthly GRIP Expenditures.  All Expenses charged to GRIP Mains Projects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 xml:space="preserve">kbaker:                         Total GRIP Mains Capital Expenditures closed to plant in current month (CR 1070 DB 1010)
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>kbaker:                           Monthly GRIP Expenditures.  All Expenses charged to GRIP Services Projects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</rPr>
          <t>kbaker:                         Total GRIP Services Capital Expenditures closed to plant in current month (CR 1070 DB 1010)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kbaker:                               Total addition to the 1010 376G account for the current month</t>
        </r>
      </text>
    </comment>
    <comment ref="B14" authorId="0" shapeId="0">
      <text>
        <r>
          <rPr>
            <b/>
            <sz val="9"/>
            <color indexed="81"/>
            <rFont val="Tahoma"/>
            <family val="2"/>
          </rPr>
          <t>kbaker:                               Total addition to the 1010 380G account for the current month</t>
        </r>
      </text>
    </comment>
    <comment ref="B19" authorId="0" shapeId="0">
      <text>
        <r>
          <rPr>
            <b/>
            <sz val="9"/>
            <color indexed="81"/>
            <rFont val="Tahoma"/>
            <family val="2"/>
          </rPr>
          <t>kbaker:
Total fixed assets in account 376G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 xml:space="preserve">kbaker:
Total fixed assets in account 380G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Total AD rolled forward from 2014 plus current months AD booked based on the previous month's asset balance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 xml:space="preserve">kbaker:
Rate based on 2014 depreciation study
</t>
        </r>
      </text>
    </comment>
    <comment ref="B30" authorId="0" shapeId="0">
      <text>
        <r>
          <rPr>
            <b/>
            <sz val="9"/>
            <color indexed="81"/>
            <rFont val="Tahoma"/>
            <family val="2"/>
          </rPr>
          <t>kbaker:
Rate based on 2014 depreciation study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kbaker:
Provided by Regulatory based on previous years ESR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kbaker:
Provided by Regulatory based on previous years ESR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kbaker:
Average Net Qualified Investment for current month multiplied by the Equity-Cost of Capital Rate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 xml:space="preserve">kbaker:
Average Net Qualified Investment for current month multiplied by the Debt-Cost of Capital Rate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kbaker:
Previous month's 376G plant balance multiplied by deprecation rate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kbaker:
Previous month's 380G plant balance multiplied by deprecation rate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1" shapeId="0">
      <text>
        <r>
          <rPr>
            <b/>
            <sz val="10"/>
            <color indexed="81"/>
            <rFont val="Tahoma"/>
            <family val="2"/>
          </rPr>
          <t>cheryl_martin:</t>
        </r>
        <r>
          <rPr>
            <sz val="10"/>
            <color indexed="81"/>
            <rFont val="Tahoma"/>
            <family val="2"/>
          </rPr>
          <t xml:space="preserve">
CF00.GP400.7090.9130</t>
        </r>
      </text>
    </comment>
    <comment ref="B45" authorId="1" shapeId="0">
      <text>
        <r>
          <rPr>
            <b/>
            <sz val="10"/>
            <color indexed="81"/>
            <rFont val="Tahoma"/>
            <family val="2"/>
          </rPr>
          <t>cheryl_martin:</t>
        </r>
        <r>
          <rPr>
            <sz val="10"/>
            <color indexed="81"/>
            <rFont val="Tahoma"/>
            <family val="2"/>
          </rPr>
          <t xml:space="preserve">
CF00.GP400.7020.9130</t>
        </r>
      </text>
    </comment>
    <comment ref="B53" authorId="0" shapeId="0">
      <text>
        <r>
          <rPr>
            <b/>
            <sz val="9"/>
            <color indexed="81"/>
            <rFont val="Tahoma"/>
            <family val="2"/>
          </rPr>
          <t>kabaker:
Amount billed through ECIS as surchage to customers monthly</t>
        </r>
      </text>
    </comment>
    <comment ref="B54" authorId="0" shapeId="0">
      <text>
        <r>
          <rPr>
            <b/>
            <sz val="9"/>
            <color indexed="81"/>
            <rFont val="Tahoma"/>
            <family val="2"/>
          </rPr>
          <t xml:space="preserve">Grossed Up for the PSC assessment to be paid each year
</t>
        </r>
      </text>
    </comment>
  </commentList>
</comments>
</file>

<file path=xl/sharedStrings.xml><?xml version="1.0" encoding="utf-8"?>
<sst xmlns="http://schemas.openxmlformats.org/spreadsheetml/2006/main" count="158" uniqueCount="78">
  <si>
    <t>Florida Public Utilities Company - Ft Meade</t>
  </si>
  <si>
    <t>Attachment H</t>
  </si>
  <si>
    <r>
      <t xml:space="preserve">Gas Reliability Infrastructure Program (GRIP) </t>
    </r>
    <r>
      <rPr>
        <b/>
        <sz val="11"/>
        <color theme="1"/>
        <rFont val="Times New Roman"/>
        <family val="1"/>
      </rPr>
      <t>2605-253G and 1609-186G</t>
    </r>
  </si>
  <si>
    <t>Schedule B (CHPK)</t>
  </si>
  <si>
    <t>Calculation of the Actual Revenue Requirements</t>
  </si>
  <si>
    <t>Page 1 of 1</t>
  </si>
  <si>
    <t>January 01, 2021 through December 31, 2021</t>
  </si>
  <si>
    <t>Input cells</t>
  </si>
  <si>
    <t>Dollars shown in the correct month</t>
  </si>
  <si>
    <t>Check Total</t>
  </si>
  <si>
    <t>Beginning</t>
  </si>
  <si>
    <t>Year End</t>
  </si>
  <si>
    <t>Item</t>
  </si>
  <si>
    <t>General ledger</t>
  </si>
  <si>
    <t>Balance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</si>
  <si>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</si>
  <si>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</si>
  <si>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</si>
  <si>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</si>
  <si>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</si>
  <si>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</si>
  <si>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</si>
  <si>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</si>
  <si>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</si>
  <si>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</si>
  <si>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</si>
  <si>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</si>
  <si>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Total/Balance</t>
  </si>
  <si>
    <t>Qualified Investment</t>
  </si>
  <si>
    <t>Qualified Investment - Mains - Current   1070 Activity</t>
  </si>
  <si>
    <t>Closed- 1070 Activity to Plant for Mains</t>
  </si>
  <si>
    <t>Qualified Investment - Services - Current  1070 Activity</t>
  </si>
  <si>
    <t>Closed- 1070 Activity to Plant for Service</t>
  </si>
  <si>
    <t>Qualified Investment - Mains - Current  1010 Activity</t>
  </si>
  <si>
    <t>Qualified Investment - Services - Current  1010 Activity</t>
  </si>
  <si>
    <t>Total</t>
  </si>
  <si>
    <t>Total Qualified Investment - Mains 1070</t>
  </si>
  <si>
    <t>Total Qualified Investment - Services 1070</t>
  </si>
  <si>
    <t>Total Qualified Investment - Mains 1010</t>
  </si>
  <si>
    <t>Total Qualified Investment - Services 1010</t>
  </si>
  <si>
    <t>Total Qualified Investment</t>
  </si>
  <si>
    <t xml:space="preserve">Less:  Accumulated Depreciation 1080 </t>
  </si>
  <si>
    <t>Net Book Value</t>
  </si>
  <si>
    <t>Average Net Qualified Investment</t>
  </si>
  <si>
    <t>Depreciation Rates</t>
  </si>
  <si>
    <t>Approved Depreciation Rate-Mains</t>
  </si>
  <si>
    <t>Approved Depreciation Rate-Services</t>
  </si>
  <si>
    <t>Return on Average Net Qualified Investment</t>
  </si>
  <si>
    <t>Equity - Cost of Capital, inclusive of Income Tax Gross-up</t>
  </si>
  <si>
    <t>Debt - Cost of Capital</t>
  </si>
  <si>
    <t>Equity Component - inclusive of Income Tax Gross-up</t>
  </si>
  <si>
    <t>Debt Component</t>
  </si>
  <si>
    <t>Return Requirement</t>
  </si>
  <si>
    <t>Investment Expenses</t>
  </si>
  <si>
    <t>Depreciation Expense - Mains</t>
  </si>
  <si>
    <t>Depreciation Expense - Services</t>
  </si>
  <si>
    <t>Property Taxes</t>
  </si>
  <si>
    <t>Customer Notice Expense - 709</t>
  </si>
  <si>
    <t>General Public Notice Expense - 702</t>
  </si>
  <si>
    <t>Total Expense</t>
  </si>
  <si>
    <t>Total Revenue Requirements</t>
  </si>
  <si>
    <t>GRIP Surcharge Revenues Collected Month</t>
  </si>
  <si>
    <t>Tax Factor</t>
  </si>
  <si>
    <t xml:space="preserve">Net GRIP Surcharge Revenue Collected </t>
  </si>
  <si>
    <t>(Over) and Under Recovery for the Month</t>
  </si>
  <si>
    <t>Monthly Interest Expense/(Income)</t>
  </si>
  <si>
    <t>Ending (Over) and Under Recovery</t>
  </si>
  <si>
    <t>GL Balance</t>
  </si>
  <si>
    <t>Difference</t>
  </si>
  <si>
    <t>Beg of Month Annual Interest Rate</t>
  </si>
  <si>
    <t>End of Month Annual Interest Rate</t>
  </si>
  <si>
    <t>Average Monthly Interest Rate</t>
  </si>
  <si>
    <t>O/U Adjustment for revised equity rate for State Income Tax Chg</t>
  </si>
  <si>
    <t>Interest Adjustment for revised equity rate for State Income Tax Chg</t>
  </si>
  <si>
    <t xml:space="preserve">**Use the rate on the first day of the month from the PSC rates. </t>
  </si>
  <si>
    <t>as recorded 1 &amp; 2 2019</t>
  </si>
  <si>
    <t>Updated rates</t>
  </si>
  <si>
    <t>January 01, 2020 through December 31,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</si>
</sst>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_(&quot;$&quot;* #,##0.00_);_(&quot;$&quot;* \(#,##0.00\);_(&quot;$&quot;* &quot;-&quot;_);_(@_)"/>
    <numFmt numFmtId="166" formatCode="_(* #,##0.00000_);_(* \(#,##0.000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7" fontId="0" fillId="0" borderId="0" xfId="0" applyNumberFormat="1" applyFill="1"/>
    <xf numFmtId="5" fontId="0" fillId="0" borderId="0" xfId="0" applyNumberFormat="1" applyFill="1"/>
    <xf numFmtId="5" fontId="9" fillId="0" borderId="0" xfId="0" applyNumberFormat="1" applyFont="1" applyFill="1"/>
    <xf numFmtId="43" fontId="9" fillId="0" borderId="0" xfId="1" applyFont="1" applyFill="1"/>
    <xf numFmtId="5" fontId="0" fillId="0" borderId="0" xfId="0" applyNumberFormat="1" applyFill="1" applyBorder="1"/>
    <xf numFmtId="5" fontId="1" fillId="0" borderId="0" xfId="2" applyNumberFormat="1" applyFont="1" applyFill="1" applyBorder="1"/>
    <xf numFmtId="5" fontId="0" fillId="0" borderId="2" xfId="0" applyNumberFormat="1" applyFill="1" applyBorder="1"/>
    <xf numFmtId="165" fontId="0" fillId="0" borderId="2" xfId="0" applyNumberFormat="1" applyFill="1" applyBorder="1"/>
    <xf numFmtId="43" fontId="8" fillId="0" borderId="0" xfId="1" applyFont="1" applyFill="1" applyBorder="1"/>
    <xf numFmtId="43" fontId="0" fillId="0" borderId="0" xfId="1" applyFont="1" applyFill="1" applyBorder="1"/>
    <xf numFmtId="0" fontId="0" fillId="0" borderId="0" xfId="0" applyFill="1"/>
    <xf numFmtId="44" fontId="0" fillId="0" borderId="0" xfId="0" applyNumberFormat="1" applyFill="1"/>
    <xf numFmtId="10" fontId="0" fillId="0" borderId="0" xfId="0" applyNumberFormat="1" applyFill="1"/>
    <xf numFmtId="165" fontId="0" fillId="0" borderId="0" xfId="0" applyNumberFormat="1" applyFill="1" applyBorder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5" fillId="0" borderId="0" xfId="0" applyFont="1" applyFill="1" applyAlignment="1">
      <alignment horizontal="center"/>
    </xf>
    <xf numFmtId="41" fontId="2" fillId="0" borderId="0" xfId="0" applyNumberFormat="1" applyFont="1" applyFill="1"/>
    <xf numFmtId="0" fontId="2" fillId="0" borderId="0" xfId="0" applyFont="1" applyFill="1" applyAlignment="1">
      <alignment horizontal="left"/>
    </xf>
    <xf numFmtId="0" fontId="6" fillId="0" borderId="0" xfId="0" applyFont="1" applyFill="1"/>
    <xf numFmtId="0" fontId="2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43" fontId="0" fillId="0" borderId="0" xfId="1" applyFont="1" applyFill="1"/>
    <xf numFmtId="5" fontId="8" fillId="0" borderId="0" xfId="0" applyNumberFormat="1" applyFont="1" applyFill="1"/>
    <xf numFmtId="43" fontId="8" fillId="0" borderId="0" xfId="1" applyFont="1" applyFill="1"/>
    <xf numFmtId="5" fontId="0" fillId="0" borderId="1" xfId="0" applyNumberFormat="1" applyFill="1" applyBorder="1"/>
    <xf numFmtId="5" fontId="0" fillId="0" borderId="3" xfId="0" applyNumberFormat="1" applyFill="1" applyBorder="1"/>
    <xf numFmtId="5" fontId="8" fillId="0" borderId="1" xfId="0" applyNumberFormat="1" applyFont="1" applyFill="1" applyBorder="1"/>
    <xf numFmtId="0" fontId="0" fillId="0" borderId="0" xfId="0" applyFill="1" applyBorder="1"/>
    <xf numFmtId="5" fontId="0" fillId="0" borderId="4" xfId="0" applyNumberFormat="1" applyFill="1" applyBorder="1"/>
    <xf numFmtId="42" fontId="0" fillId="0" borderId="0" xfId="0" applyNumberFormat="1" applyFill="1" applyBorder="1"/>
    <xf numFmtId="164" fontId="1" fillId="0" borderId="0" xfId="2" applyNumberFormat="1" applyFont="1" applyFill="1" applyAlignment="1">
      <alignment horizontal="right"/>
    </xf>
    <xf numFmtId="164" fontId="0" fillId="0" borderId="0" xfId="0" applyNumberFormat="1" applyFill="1"/>
    <xf numFmtId="5" fontId="8" fillId="0" borderId="0" xfId="0" applyNumberFormat="1" applyFont="1" applyFill="1" applyBorder="1"/>
    <xf numFmtId="5" fontId="8" fillId="0" borderId="1" xfId="2" applyNumberFormat="1" applyFont="1" applyFill="1" applyBorder="1"/>
    <xf numFmtId="5" fontId="8" fillId="0" borderId="0" xfId="2" applyNumberFormat="1" applyFont="1" applyFill="1" applyBorder="1"/>
    <xf numFmtId="41" fontId="0" fillId="0" borderId="0" xfId="0" applyNumberFormat="1" applyFill="1"/>
    <xf numFmtId="165" fontId="8" fillId="0" borderId="0" xfId="0" applyNumberFormat="1" applyFont="1" applyFill="1" applyBorder="1" applyAlignment="1">
      <alignment horizontal="right"/>
    </xf>
    <xf numFmtId="165" fontId="8" fillId="0" borderId="0" xfId="0" applyNumberFormat="1" applyFont="1" applyFill="1" applyBorder="1"/>
    <xf numFmtId="166" fontId="8" fillId="0" borderId="0" xfId="1" applyNumberFormat="1" applyFont="1" applyFill="1" applyBorder="1"/>
    <xf numFmtId="166" fontId="0" fillId="0" borderId="0" xfId="1" applyNumberFormat="1" applyFont="1" applyFill="1"/>
    <xf numFmtId="42" fontId="0" fillId="0" borderId="2" xfId="0" applyNumberFormat="1" applyFill="1" applyBorder="1"/>
    <xf numFmtId="165" fontId="0" fillId="0" borderId="0" xfId="0" applyNumberFormat="1" applyFill="1"/>
    <xf numFmtId="43" fontId="0" fillId="0" borderId="0" xfId="0" applyNumberFormat="1" applyFill="1"/>
    <xf numFmtId="10" fontId="8" fillId="0" borderId="0" xfId="0" applyNumberFormat="1" applyFont="1" applyFill="1"/>
    <xf numFmtId="0" fontId="0" fillId="0" borderId="0" xfId="0" applyFill="1" applyAlignment="1" applyProtection="1">
      <alignment horizontal="right"/>
    </xf>
    <xf numFmtId="44" fontId="2" fillId="0" borderId="0" xfId="0" applyNumberFormat="1" applyFont="1" applyFill="1"/>
    <xf numFmtId="0" fontId="0" fillId="0" borderId="0" xfId="0" applyFill="1" applyAlignment="1">
      <alignment horizontal="right"/>
    </xf>
    <xf numFmtId="167" fontId="0" fillId="0" borderId="0" xfId="1" applyNumberFormat="1" applyFont="1" applyFill="1"/>
    <xf numFmtId="167" fontId="0" fillId="0" borderId="1" xfId="1" applyNumberFormat="1" applyFont="1" applyFill="1" applyBorder="1"/>
    <xf numFmtId="167" fontId="2" fillId="0" borderId="0" xfId="1" applyNumberFormat="1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externalLink" Target="externalLinks/externalLink1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imanage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86</xdr:row>
      <xdr:rowOff>0</xdr:rowOff>
    </xdr:from>
    <xdr:to>
      <xdr:col>5</xdr:col>
      <xdr:colOff>553631</xdr:colOff>
      <xdr:row>108</xdr:row>
      <xdr:rowOff>75667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049625"/>
          <a:ext cx="7487831" cy="42666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86</xdr:row>
      <xdr:rowOff>0</xdr:rowOff>
    </xdr:from>
    <xdr:to>
      <xdr:col>5</xdr:col>
      <xdr:colOff>553631</xdr:colOff>
      <xdr:row>108</xdr:row>
      <xdr:rowOff>75667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049625"/>
          <a:ext cx="7487831" cy="42666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ccounting\Florida%20Public%20Utilities\Natural%20Gas\Journal%20Entries\Ft.%20Meade\2021\12-2021\GRIP\02_FT_GRIP%20Report%20-%2012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preadsheet Change Management"/>
      <sheetName val="2021 Actual"/>
      <sheetName val="2021 Old"/>
      <sheetName val="2021 OLD RATES"/>
      <sheetName val="2020 Actual"/>
      <sheetName val="2020 old Depr Rates DO NOT USE"/>
      <sheetName val="2019 Rev Equity Rate FT GR 1019"/>
      <sheetName val="2019 Depr Study Rates FT GRIP"/>
      <sheetName val="FT GRIP 2019 3_19 Updated Rates"/>
      <sheetName val="FT GRIP 2018-Revised Rate 3_19 "/>
      <sheetName val="FT GRIP 2019"/>
      <sheetName val="FT GRIP 2018-Lower Exp Factor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>
        <row r="9">
          <cell r="P9">
            <v>0</v>
          </cell>
        </row>
      </sheetData>
      <sheetData sheetId="8">
        <row r="57">
          <cell r="D57">
            <v>-1673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R84"/>
  <sheetViews>
    <sheetView tabSelected="1" zoomScale="90" zoomScaleNormal="90" workbookViewId="0">
      <pane xSplit="2" ySplit="7" topLeftCell="J49" activePane="bottomRight" state="frozen"/>
      <selection activeCell="C11" sqref="C11"/>
      <selection pane="topRight" activeCell="C11" sqref="C11"/>
      <selection pane="bottomLeft" activeCell="C11" sqref="C11"/>
      <selection pane="bottomRight" activeCell="N59" sqref="N59"/>
    </sheetView>
  </sheetViews>
  <sheetFormatPr defaultColWidth="9.140625" defaultRowHeight="15" x14ac:dyDescent="0.25"/>
  <cols>
    <col min="1" max="1" width="12.42578125" style="11" customWidth="1"/>
    <col min="2" max="2" width="50.85546875" style="11" customWidth="1"/>
    <col min="3" max="3" width="13.85546875" style="11" customWidth="1"/>
    <col min="4" max="8" width="13.42578125" style="11" customWidth="1"/>
    <col min="9" max="9" width="15.140625" style="11" customWidth="1"/>
    <col min="10" max="11" width="14.85546875" style="11" customWidth="1"/>
    <col min="12" max="12" width="14.5703125" style="11" customWidth="1"/>
    <col min="13" max="13" width="14.140625" style="11" customWidth="1"/>
    <col min="14" max="14" width="16.5703125" style="11" customWidth="1"/>
    <col min="15" max="15" width="13.85546875" style="11" bestFit="1" customWidth="1"/>
    <col min="16" max="16" width="15.85546875" style="11" bestFit="1" customWidth="1"/>
    <col min="17" max="17" width="14.5703125" style="11" bestFit="1" customWidth="1"/>
    <col min="18" max="18" width="11.5703125" style="11" bestFit="1" customWidth="1"/>
    <col min="19" max="16384" width="9.140625" style="11"/>
  </cols>
  <sheetData>
    <row r="1" spans="1:18" ht="18.75" x14ac:dyDescent="0.3">
      <c r="B1" s="15" t="s">
        <v>0</v>
      </c>
      <c r="N1" s="11" t="s">
        <v>1</v>
      </c>
    </row>
    <row r="2" spans="1:18" x14ac:dyDescent="0.25">
      <c r="B2" s="16" t="s">
        <v>2</v>
      </c>
      <c r="G2" s="1"/>
      <c r="N2" s="11" t="s">
        <v>3</v>
      </c>
    </row>
    <row r="3" spans="1:18" x14ac:dyDescent="0.25">
      <c r="B3" s="16" t="s">
        <v>4</v>
      </c>
      <c r="N3" s="11" t="s">
        <v>5</v>
      </c>
    </row>
    <row r="4" spans="1:18" x14ac:dyDescent="0.25">
      <c r="B4" s="17" t="s">
        <v>6</v>
      </c>
    </row>
    <row r="5" spans="1:18" x14ac:dyDescent="0.25">
      <c r="A5" s="11" t="s">
        <v>7</v>
      </c>
      <c r="B5" s="18" t="s">
        <v>8</v>
      </c>
      <c r="C5" s="2">
        <f>C21-SUM(C9:C14)</f>
        <v>0</v>
      </c>
      <c r="D5" s="2">
        <f>IF(D15=0,0,D21-SUM(D9:D14)-C21)</f>
        <v>0</v>
      </c>
      <c r="E5" s="2">
        <f>IF(E15=0,0,E21-SUM(E9:E14)-D21)</f>
        <v>0</v>
      </c>
      <c r="F5" s="2">
        <f t="shared" ref="F5:N5" si="0">IF(F15=0,0,F21-SUM(F9:F14)-E21)</f>
        <v>0</v>
      </c>
      <c r="G5" s="2">
        <f t="shared" si="0"/>
        <v>0</v>
      </c>
      <c r="H5" s="2">
        <f t="shared" si="0"/>
        <v>0</v>
      </c>
      <c r="I5" s="2">
        <f t="shared" si="0"/>
        <v>0</v>
      </c>
      <c r="J5" s="2">
        <f t="shared" si="0"/>
        <v>0</v>
      </c>
      <c r="K5" s="2">
        <f t="shared" si="0"/>
        <v>0</v>
      </c>
      <c r="L5" s="2">
        <f t="shared" si="0"/>
        <v>0</v>
      </c>
      <c r="M5" s="2">
        <f t="shared" si="0"/>
        <v>0</v>
      </c>
      <c r="N5" s="2">
        <f t="shared" si="0"/>
        <v>0</v>
      </c>
      <c r="O5" s="2">
        <f>IF(O15=0,0,O21-SUM(O9:O14)-N21)</f>
        <v>0</v>
      </c>
      <c r="P5" s="11" t="s">
        <v>9</v>
      </c>
    </row>
    <row r="6" spans="1:18" x14ac:dyDescent="0.25">
      <c r="A6" s="19"/>
      <c r="B6" s="20"/>
      <c r="C6" s="17" t="s">
        <v>10</v>
      </c>
      <c r="P6" s="17" t="s">
        <v>11</v>
      </c>
    </row>
    <row r="7" spans="1:18" x14ac:dyDescent="0.25">
      <c r="A7" s="21" t="s">
        <v>12</v>
      </c>
      <c r="B7" s="22" t="s">
        <v>13</v>
      </c>
      <c r="C7" s="23" t="s">
        <v>14</v>
      </c>
      <c r="D7" s="23" t="s">
        <v>15</v>
      </c>
      <c r="E7" s="23" t="s">
        <v>16</v>
      </c>
      <c r="F7" s="23" t="s">
        <v>17</v>
      </c>
      <c r="G7" s="23" t="s">
        <v>18</v>
      </c>
      <c r="H7" s="23" t="s">
        <v>19</v>
      </c>
      <c r="I7" s="23" t="s">
        <v>20</v>
      </c>
      <c r="J7" s="23" t="s">
        <v>21</v>
      </c>
      <c r="K7" s="23" t="s">
        <v>22</v>
      </c>
      <c r="L7" s="23" t="s">
        <v>23</v>
      </c>
      <c r="M7" s="23" t="s">
        <v>24</v>
      </c>
      <c r="N7" s="23" t="s">
        <v>25</v>
      </c>
      <c r="O7" s="23" t="s">
        <v>26</v>
      </c>
      <c r="P7" s="23" t="s">
        <v>27</v>
      </c>
    </row>
    <row r="8" spans="1:18" x14ac:dyDescent="0.25">
      <c r="A8" s="11" t="s">
        <v>28</v>
      </c>
      <c r="O8" s="24"/>
    </row>
    <row r="9" spans="1:18" x14ac:dyDescent="0.25">
      <c r="B9" s="11" t="s">
        <v>29</v>
      </c>
      <c r="C9" s="25">
        <f>'2020 Actual'!P9</f>
        <v>0</v>
      </c>
      <c r="D9" s="25">
        <v>0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5">
        <v>0</v>
      </c>
      <c r="K9" s="25">
        <v>0</v>
      </c>
      <c r="L9" s="25">
        <v>0</v>
      </c>
      <c r="M9" s="25">
        <v>0</v>
      </c>
      <c r="N9" s="25">
        <v>0</v>
      </c>
      <c r="O9" s="26">
        <v>0</v>
      </c>
      <c r="P9" s="2">
        <f t="shared" ref="P9:P14" si="1">SUM(C9:O9)</f>
        <v>0</v>
      </c>
      <c r="Q9" s="1"/>
      <c r="R9" s="2"/>
    </row>
    <row r="10" spans="1:18" x14ac:dyDescent="0.25">
      <c r="B10" s="11" t="s">
        <v>30</v>
      </c>
      <c r="C10" s="25">
        <f>'2020 Actual'!P10</f>
        <v>0</v>
      </c>
      <c r="D10" s="3">
        <f t="shared" ref="D10:O10" si="2">-D13</f>
        <v>0</v>
      </c>
      <c r="E10" s="3">
        <f t="shared" si="2"/>
        <v>0</v>
      </c>
      <c r="F10" s="3">
        <f t="shared" si="2"/>
        <v>0</v>
      </c>
      <c r="G10" s="3">
        <f t="shared" si="2"/>
        <v>0</v>
      </c>
      <c r="H10" s="3">
        <f t="shared" si="2"/>
        <v>0</v>
      </c>
      <c r="I10" s="3">
        <f t="shared" si="2"/>
        <v>0</v>
      </c>
      <c r="J10" s="3">
        <f t="shared" si="2"/>
        <v>0</v>
      </c>
      <c r="K10" s="3">
        <f t="shared" si="2"/>
        <v>0</v>
      </c>
      <c r="L10" s="3">
        <f t="shared" si="2"/>
        <v>0</v>
      </c>
      <c r="M10" s="3">
        <f t="shared" si="2"/>
        <v>0</v>
      </c>
      <c r="N10" s="3">
        <f t="shared" si="2"/>
        <v>0</v>
      </c>
      <c r="O10" s="4">
        <f t="shared" si="2"/>
        <v>0</v>
      </c>
      <c r="P10" s="2">
        <f t="shared" si="1"/>
        <v>0</v>
      </c>
      <c r="Q10" s="1"/>
      <c r="R10" s="1"/>
    </row>
    <row r="11" spans="1:18" x14ac:dyDescent="0.25">
      <c r="B11" s="11" t="s">
        <v>31</v>
      </c>
      <c r="C11" s="25">
        <f>'2020 Actual'!P11</f>
        <v>253934.16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25">
        <v>0</v>
      </c>
      <c r="O11" s="26">
        <v>0</v>
      </c>
      <c r="P11" s="2">
        <f t="shared" si="1"/>
        <v>253934.16</v>
      </c>
    </row>
    <row r="12" spans="1:18" x14ac:dyDescent="0.25">
      <c r="B12" s="11" t="s">
        <v>32</v>
      </c>
      <c r="C12" s="25">
        <f>'2020 Actual'!P12</f>
        <v>-253934.16</v>
      </c>
      <c r="D12" s="3">
        <f t="shared" ref="D12:O12" si="3">-D14</f>
        <v>0</v>
      </c>
      <c r="E12" s="3">
        <f t="shared" si="3"/>
        <v>0</v>
      </c>
      <c r="F12" s="3">
        <f t="shared" si="3"/>
        <v>0</v>
      </c>
      <c r="G12" s="3">
        <f t="shared" si="3"/>
        <v>0</v>
      </c>
      <c r="H12" s="3">
        <f>-H14</f>
        <v>0</v>
      </c>
      <c r="I12" s="3">
        <f t="shared" si="3"/>
        <v>0</v>
      </c>
      <c r="J12" s="3">
        <f t="shared" si="3"/>
        <v>0</v>
      </c>
      <c r="K12" s="3">
        <f t="shared" si="3"/>
        <v>0</v>
      </c>
      <c r="L12" s="3">
        <f t="shared" si="3"/>
        <v>0</v>
      </c>
      <c r="M12" s="3">
        <f t="shared" si="3"/>
        <v>0</v>
      </c>
      <c r="N12" s="3">
        <f t="shared" si="3"/>
        <v>0</v>
      </c>
      <c r="O12" s="4">
        <f t="shared" si="3"/>
        <v>0</v>
      </c>
      <c r="P12" s="2">
        <f>SUM(C12:O12)</f>
        <v>-253934.16</v>
      </c>
    </row>
    <row r="13" spans="1:18" x14ac:dyDescent="0.25">
      <c r="B13" s="11" t="s">
        <v>33</v>
      </c>
      <c r="C13" s="25">
        <f>'2020 Actual'!P13</f>
        <v>0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6">
        <v>0</v>
      </c>
      <c r="P13" s="2">
        <f t="shared" si="1"/>
        <v>0</v>
      </c>
      <c r="R13" s="2"/>
    </row>
    <row r="14" spans="1:18" x14ac:dyDescent="0.25">
      <c r="B14" s="11" t="s">
        <v>34</v>
      </c>
      <c r="C14" s="25">
        <f>'2020 Actual'!P14</f>
        <v>253934.16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6">
        <v>0</v>
      </c>
      <c r="P14" s="27">
        <f t="shared" si="1"/>
        <v>253934.16</v>
      </c>
      <c r="Q14" s="1"/>
      <c r="R14" s="2"/>
    </row>
    <row r="15" spans="1:18" ht="15.75" thickBot="1" x14ac:dyDescent="0.3">
      <c r="B15" s="11" t="s">
        <v>35</v>
      </c>
      <c r="C15" s="7">
        <f>SUM(C9:C14)</f>
        <v>253934.16</v>
      </c>
      <c r="D15" s="7">
        <f t="shared" ref="D15:O15" si="4">IF(ISBLANK(D9),0,SUM(D9:D14)+C15)</f>
        <v>253934.16</v>
      </c>
      <c r="E15" s="7">
        <f t="shared" si="4"/>
        <v>253934.16</v>
      </c>
      <c r="F15" s="7">
        <f t="shared" si="4"/>
        <v>253934.16</v>
      </c>
      <c r="G15" s="7">
        <f t="shared" si="4"/>
        <v>253934.16</v>
      </c>
      <c r="H15" s="7">
        <f t="shared" si="4"/>
        <v>253934.16</v>
      </c>
      <c r="I15" s="7">
        <f t="shared" si="4"/>
        <v>253934.16</v>
      </c>
      <c r="J15" s="7">
        <f t="shared" si="4"/>
        <v>253934.16</v>
      </c>
      <c r="K15" s="7">
        <f t="shared" si="4"/>
        <v>253934.16</v>
      </c>
      <c r="L15" s="7">
        <f t="shared" si="4"/>
        <v>253934.16</v>
      </c>
      <c r="M15" s="7">
        <f>IF(ISBLANK(M9),0,SUM(M9:M14)+L15)</f>
        <v>253934.16</v>
      </c>
      <c r="N15" s="7">
        <f t="shared" si="4"/>
        <v>253934.16</v>
      </c>
      <c r="O15" s="7">
        <f t="shared" si="4"/>
        <v>253934.16</v>
      </c>
      <c r="P15" s="28">
        <f>SUM(P9:P14)</f>
        <v>253934.16</v>
      </c>
    </row>
    <row r="16" spans="1:18" ht="15.75" thickTop="1" x14ac:dyDescent="0.25"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x14ac:dyDescent="0.25">
      <c r="B17" s="11" t="s">
        <v>36</v>
      </c>
      <c r="C17" s="25">
        <f>'2020 Actual'!P17</f>
        <v>0</v>
      </c>
      <c r="D17" s="2">
        <f>IF(ISBLANK(D9),0,SUM(D9:D10)+C17)</f>
        <v>0</v>
      </c>
      <c r="E17" s="2">
        <f t="shared" ref="E17:O17" si="5">IF(ISBLANK(E9),0,SUM(E9:E10)+D17)</f>
        <v>0</v>
      </c>
      <c r="F17" s="2">
        <f t="shared" si="5"/>
        <v>0</v>
      </c>
      <c r="G17" s="2">
        <f t="shared" si="5"/>
        <v>0</v>
      </c>
      <c r="H17" s="2">
        <f t="shared" si="5"/>
        <v>0</v>
      </c>
      <c r="I17" s="2">
        <f t="shared" si="5"/>
        <v>0</v>
      </c>
      <c r="J17" s="2">
        <f t="shared" si="5"/>
        <v>0</v>
      </c>
      <c r="K17" s="2">
        <f t="shared" si="5"/>
        <v>0</v>
      </c>
      <c r="L17" s="2">
        <f t="shared" si="5"/>
        <v>0</v>
      </c>
      <c r="M17" s="2">
        <f t="shared" si="5"/>
        <v>0</v>
      </c>
      <c r="N17" s="2">
        <f t="shared" si="5"/>
        <v>0</v>
      </c>
      <c r="O17" s="2">
        <f t="shared" si="5"/>
        <v>0</v>
      </c>
      <c r="P17" s="2">
        <f>+O17</f>
        <v>0</v>
      </c>
    </row>
    <row r="18" spans="1:16" x14ac:dyDescent="0.25">
      <c r="B18" s="11" t="s">
        <v>37</v>
      </c>
      <c r="C18" s="25">
        <f>'2020 Actual'!P18</f>
        <v>1.8189894035458565E-12</v>
      </c>
      <c r="D18" s="5">
        <f>IF(ISBLANK(D11),0,C18+SUM(D11:D12))</f>
        <v>1.8189894035458565E-12</v>
      </c>
      <c r="E18" s="5">
        <f>IF(ISBLANK(E11),0,D18+SUM(E11:E12))</f>
        <v>1.8189894035458565E-12</v>
      </c>
      <c r="F18" s="5">
        <f t="shared" ref="F18:O18" si="6">IF(ISBLANK(F11),0,E18+SUM(F11:F12))</f>
        <v>1.8189894035458565E-12</v>
      </c>
      <c r="G18" s="5">
        <f t="shared" si="6"/>
        <v>1.8189894035458565E-12</v>
      </c>
      <c r="H18" s="5">
        <f t="shared" si="6"/>
        <v>1.8189894035458565E-12</v>
      </c>
      <c r="I18" s="5">
        <f>IF(ISBLANK(I11),0,H18+SUM(I11:I12))</f>
        <v>1.8189894035458565E-12</v>
      </c>
      <c r="J18" s="5">
        <f t="shared" si="6"/>
        <v>1.8189894035458565E-12</v>
      </c>
      <c r="K18" s="5">
        <f t="shared" si="6"/>
        <v>1.8189894035458565E-12</v>
      </c>
      <c r="L18" s="5">
        <f t="shared" si="6"/>
        <v>1.8189894035458565E-12</v>
      </c>
      <c r="M18" s="5">
        <f t="shared" si="6"/>
        <v>1.8189894035458565E-12</v>
      </c>
      <c r="N18" s="5">
        <f t="shared" si="6"/>
        <v>1.8189894035458565E-12</v>
      </c>
      <c r="O18" s="5">
        <f t="shared" si="6"/>
        <v>1.8189894035458565E-12</v>
      </c>
      <c r="P18" s="2">
        <f>+O18</f>
        <v>1.8189894035458565E-12</v>
      </c>
    </row>
    <row r="19" spans="1:16" x14ac:dyDescent="0.25">
      <c r="B19" s="11" t="s">
        <v>38</v>
      </c>
      <c r="C19" s="25">
        <f>'2020 Actual'!P19</f>
        <v>0</v>
      </c>
      <c r="D19" s="2">
        <f>IF(ISBLANK(D13),0,C19+D13)</f>
        <v>0</v>
      </c>
      <c r="E19" s="2">
        <f t="shared" ref="E19:O19" si="7">IF(ISBLANK(E13),0,D19+E13)</f>
        <v>0</v>
      </c>
      <c r="F19" s="2">
        <f t="shared" si="7"/>
        <v>0</v>
      </c>
      <c r="G19" s="2">
        <f t="shared" si="7"/>
        <v>0</v>
      </c>
      <c r="H19" s="2">
        <f t="shared" si="7"/>
        <v>0</v>
      </c>
      <c r="I19" s="2">
        <f t="shared" si="7"/>
        <v>0</v>
      </c>
      <c r="J19" s="2">
        <f t="shared" si="7"/>
        <v>0</v>
      </c>
      <c r="K19" s="2">
        <f t="shared" si="7"/>
        <v>0</v>
      </c>
      <c r="L19" s="2">
        <f t="shared" si="7"/>
        <v>0</v>
      </c>
      <c r="M19" s="2">
        <f t="shared" si="7"/>
        <v>0</v>
      </c>
      <c r="N19" s="2">
        <f t="shared" si="7"/>
        <v>0</v>
      </c>
      <c r="O19" s="2">
        <f t="shared" si="7"/>
        <v>0</v>
      </c>
      <c r="P19" s="2">
        <f>O19</f>
        <v>0</v>
      </c>
    </row>
    <row r="20" spans="1:16" x14ac:dyDescent="0.25">
      <c r="B20" s="11" t="s">
        <v>39</v>
      </c>
      <c r="C20" s="25">
        <f>'2020 Actual'!P20</f>
        <v>253934.16</v>
      </c>
      <c r="D20" s="27">
        <f>IF(ISBLANK(D14),0,D14+C20)</f>
        <v>253934.16</v>
      </c>
      <c r="E20" s="27">
        <f t="shared" ref="E20:O20" si="8">IF(ISBLANK(E14),0,E14+D20)</f>
        <v>253934.16</v>
      </c>
      <c r="F20" s="27">
        <f t="shared" si="8"/>
        <v>253934.16</v>
      </c>
      <c r="G20" s="27">
        <f t="shared" si="8"/>
        <v>253934.16</v>
      </c>
      <c r="H20" s="27">
        <f t="shared" si="8"/>
        <v>253934.16</v>
      </c>
      <c r="I20" s="27">
        <f t="shared" si="8"/>
        <v>253934.16</v>
      </c>
      <c r="J20" s="27">
        <f t="shared" si="8"/>
        <v>253934.16</v>
      </c>
      <c r="K20" s="27">
        <f t="shared" si="8"/>
        <v>253934.16</v>
      </c>
      <c r="L20" s="27">
        <f t="shared" si="8"/>
        <v>253934.16</v>
      </c>
      <c r="M20" s="27">
        <f t="shared" si="8"/>
        <v>253934.16</v>
      </c>
      <c r="N20" s="27">
        <f t="shared" si="8"/>
        <v>253934.16</v>
      </c>
      <c r="O20" s="27">
        <f t="shared" si="8"/>
        <v>253934.16</v>
      </c>
      <c r="P20" s="27">
        <f>O20</f>
        <v>253934.16</v>
      </c>
    </row>
    <row r="21" spans="1:16" ht="15.75" thickBot="1" x14ac:dyDescent="0.3">
      <c r="B21" s="11" t="s">
        <v>40</v>
      </c>
      <c r="C21" s="7">
        <f>SUM(C17:C20)</f>
        <v>253934.16</v>
      </c>
      <c r="D21" s="7">
        <f>SUM(D17:D20)</f>
        <v>253934.16</v>
      </c>
      <c r="E21" s="7">
        <f t="shared" ref="E21:P21" si="9">SUM(E17:E20)</f>
        <v>253934.16</v>
      </c>
      <c r="F21" s="7">
        <f t="shared" si="9"/>
        <v>253934.16</v>
      </c>
      <c r="G21" s="7">
        <f t="shared" si="9"/>
        <v>253934.16</v>
      </c>
      <c r="H21" s="7">
        <f>SUM(H17:H20)</f>
        <v>253934.16</v>
      </c>
      <c r="I21" s="7">
        <f t="shared" si="9"/>
        <v>253934.16</v>
      </c>
      <c r="J21" s="7">
        <f t="shared" si="9"/>
        <v>253934.16</v>
      </c>
      <c r="K21" s="7">
        <f t="shared" si="9"/>
        <v>253934.16</v>
      </c>
      <c r="L21" s="7">
        <f t="shared" si="9"/>
        <v>253934.16</v>
      </c>
      <c r="M21" s="7">
        <f t="shared" si="9"/>
        <v>253934.16</v>
      </c>
      <c r="N21" s="7">
        <f t="shared" si="9"/>
        <v>253934.16</v>
      </c>
      <c r="O21" s="7">
        <f t="shared" si="9"/>
        <v>253934.16</v>
      </c>
      <c r="P21" s="7">
        <f t="shared" si="9"/>
        <v>253934.16</v>
      </c>
    </row>
    <row r="22" spans="1:16" ht="15.75" thickTop="1" x14ac:dyDescent="0.25"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"/>
    </row>
    <row r="23" spans="1:16" x14ac:dyDescent="0.25">
      <c r="B23" s="11" t="s">
        <v>41</v>
      </c>
      <c r="C23" s="29">
        <f>'2020 Actual'!P23</f>
        <v>-20319.489118333327</v>
      </c>
      <c r="D23" s="5">
        <f>C23-D41-D42</f>
        <v>-20785.035078333327</v>
      </c>
      <c r="E23" s="5">
        <f>D23-E41-E42</f>
        <v>-21250.581038333326</v>
      </c>
      <c r="F23" s="5">
        <f t="shared" ref="F23:N23" si="10">E23-F41-F42</f>
        <v>-21716.126998333326</v>
      </c>
      <c r="G23" s="5">
        <f t="shared" si="10"/>
        <v>-22181.672958333325</v>
      </c>
      <c r="H23" s="5">
        <f t="shared" si="10"/>
        <v>-22647.218918333325</v>
      </c>
      <c r="I23" s="5">
        <f t="shared" si="10"/>
        <v>-23112.764878333324</v>
      </c>
      <c r="J23" s="5">
        <f t="shared" si="10"/>
        <v>-23578.310838333324</v>
      </c>
      <c r="K23" s="5">
        <f t="shared" si="10"/>
        <v>-24043.856798333323</v>
      </c>
      <c r="L23" s="5">
        <f t="shared" si="10"/>
        <v>-24509.402758333323</v>
      </c>
      <c r="M23" s="5">
        <f t="shared" si="10"/>
        <v>-24974.948718333322</v>
      </c>
      <c r="N23" s="5">
        <f t="shared" si="10"/>
        <v>-25440.494678333322</v>
      </c>
      <c r="O23" s="5">
        <f>N23-O41-O42</f>
        <v>-25906.040638333321</v>
      </c>
      <c r="P23" s="5">
        <f>O23</f>
        <v>-25906.040638333321</v>
      </c>
    </row>
    <row r="24" spans="1:16" ht="15.75" thickBot="1" x14ac:dyDescent="0.3">
      <c r="B24" s="11" t="s">
        <v>42</v>
      </c>
      <c r="C24" s="7">
        <f>C21+C23</f>
        <v>233614.67088166668</v>
      </c>
      <c r="D24" s="7">
        <f>D21+D23</f>
        <v>233149.12492166669</v>
      </c>
      <c r="E24" s="7">
        <f t="shared" ref="E24:O24" si="11">E21+E23</f>
        <v>232683.57896166667</v>
      </c>
      <c r="F24" s="7">
        <f t="shared" si="11"/>
        <v>232218.03300166668</v>
      </c>
      <c r="G24" s="7">
        <f t="shared" si="11"/>
        <v>231752.48704166667</v>
      </c>
      <c r="H24" s="7">
        <f t="shared" si="11"/>
        <v>231286.94108166668</v>
      </c>
      <c r="I24" s="7">
        <f t="shared" si="11"/>
        <v>230821.39512166669</v>
      </c>
      <c r="J24" s="7">
        <f t="shared" si="11"/>
        <v>230355.84916166667</v>
      </c>
      <c r="K24" s="7">
        <f t="shared" si="11"/>
        <v>229890.30320166668</v>
      </c>
      <c r="L24" s="7">
        <f t="shared" si="11"/>
        <v>229424.75724166667</v>
      </c>
      <c r="M24" s="7">
        <f t="shared" si="11"/>
        <v>228959.21128166668</v>
      </c>
      <c r="N24" s="7">
        <f t="shared" si="11"/>
        <v>228493.66532166669</v>
      </c>
      <c r="O24" s="7">
        <f t="shared" si="11"/>
        <v>228028.11936166667</v>
      </c>
      <c r="P24" s="7">
        <f>P21+P23</f>
        <v>228028.11936166667</v>
      </c>
    </row>
    <row r="25" spans="1:16" ht="16.5" thickTop="1" thickBot="1" x14ac:dyDescent="0.3">
      <c r="B25" s="30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ht="16.5" thickTop="1" thickBot="1" x14ac:dyDescent="0.3">
      <c r="B26" s="30" t="s">
        <v>43</v>
      </c>
      <c r="C26" s="5"/>
      <c r="D26" s="31">
        <f>ROUND((+C24+D24)/2,0)</f>
        <v>233382</v>
      </c>
      <c r="E26" s="31">
        <f t="shared" ref="E26:O26" si="12">ROUND((+D24+E24)/2,0)</f>
        <v>232916</v>
      </c>
      <c r="F26" s="31">
        <f t="shared" si="12"/>
        <v>232451</v>
      </c>
      <c r="G26" s="31">
        <f t="shared" si="12"/>
        <v>231985</v>
      </c>
      <c r="H26" s="31">
        <f t="shared" si="12"/>
        <v>231520</v>
      </c>
      <c r="I26" s="31">
        <f t="shared" si="12"/>
        <v>231054</v>
      </c>
      <c r="J26" s="31">
        <f t="shared" si="12"/>
        <v>230589</v>
      </c>
      <c r="K26" s="31">
        <f t="shared" si="12"/>
        <v>230123</v>
      </c>
      <c r="L26" s="31">
        <f t="shared" si="12"/>
        <v>229658</v>
      </c>
      <c r="M26" s="31">
        <f t="shared" si="12"/>
        <v>229192</v>
      </c>
      <c r="N26" s="31">
        <f t="shared" si="12"/>
        <v>228726</v>
      </c>
      <c r="O26" s="31">
        <f t="shared" si="12"/>
        <v>228261</v>
      </c>
      <c r="P26" s="5"/>
    </row>
    <row r="27" spans="1:16" ht="15.75" thickTop="1" x14ac:dyDescent="0.25">
      <c r="B27" s="30"/>
      <c r="C27" s="30"/>
      <c r="D27" s="32"/>
      <c r="E27" s="32"/>
      <c r="F27" s="32"/>
      <c r="G27" s="32"/>
      <c r="H27" s="32"/>
      <c r="I27" s="30"/>
    </row>
    <row r="28" spans="1:16" x14ac:dyDescent="0.25">
      <c r="A28" s="11" t="s">
        <v>44</v>
      </c>
      <c r="D28" s="32"/>
      <c r="E28" s="32"/>
      <c r="F28" s="32"/>
      <c r="G28" s="32"/>
      <c r="H28" s="32"/>
    </row>
    <row r="29" spans="1:16" x14ac:dyDescent="0.25">
      <c r="B29" s="11" t="s">
        <v>45</v>
      </c>
      <c r="D29" s="13">
        <v>2.1000000000000001E-2</v>
      </c>
      <c r="E29" s="13">
        <f>D29</f>
        <v>2.1000000000000001E-2</v>
      </c>
      <c r="F29" s="13">
        <f t="shared" ref="F29:O30" si="13">E29</f>
        <v>2.1000000000000001E-2</v>
      </c>
      <c r="G29" s="13">
        <f t="shared" si="13"/>
        <v>2.1000000000000001E-2</v>
      </c>
      <c r="H29" s="13">
        <f t="shared" si="13"/>
        <v>2.1000000000000001E-2</v>
      </c>
      <c r="I29" s="13">
        <f t="shared" si="13"/>
        <v>2.1000000000000001E-2</v>
      </c>
      <c r="J29" s="13">
        <f t="shared" si="13"/>
        <v>2.1000000000000001E-2</v>
      </c>
      <c r="K29" s="13">
        <f t="shared" si="13"/>
        <v>2.1000000000000001E-2</v>
      </c>
      <c r="L29" s="13">
        <f t="shared" si="13"/>
        <v>2.1000000000000001E-2</v>
      </c>
      <c r="M29" s="13">
        <f t="shared" si="13"/>
        <v>2.1000000000000001E-2</v>
      </c>
      <c r="N29" s="13">
        <f t="shared" si="13"/>
        <v>2.1000000000000001E-2</v>
      </c>
      <c r="O29" s="13">
        <f t="shared" si="13"/>
        <v>2.1000000000000001E-2</v>
      </c>
    </row>
    <row r="30" spans="1:16" x14ac:dyDescent="0.25">
      <c r="B30" s="11" t="s">
        <v>46</v>
      </c>
      <c r="D30" s="13">
        <v>2.1999999999999999E-2</v>
      </c>
      <c r="E30" s="13">
        <f>D30</f>
        <v>2.1999999999999999E-2</v>
      </c>
      <c r="F30" s="13">
        <f t="shared" si="13"/>
        <v>2.1999999999999999E-2</v>
      </c>
      <c r="G30" s="13">
        <f t="shared" si="13"/>
        <v>2.1999999999999999E-2</v>
      </c>
      <c r="H30" s="13">
        <f t="shared" si="13"/>
        <v>2.1999999999999999E-2</v>
      </c>
      <c r="I30" s="13">
        <f t="shared" si="13"/>
        <v>2.1999999999999999E-2</v>
      </c>
      <c r="J30" s="13">
        <f t="shared" si="13"/>
        <v>2.1999999999999999E-2</v>
      </c>
      <c r="K30" s="13">
        <f t="shared" si="13"/>
        <v>2.1999999999999999E-2</v>
      </c>
      <c r="L30" s="13">
        <f t="shared" si="13"/>
        <v>2.1999999999999999E-2</v>
      </c>
      <c r="M30" s="13">
        <f t="shared" si="13"/>
        <v>2.1999999999999999E-2</v>
      </c>
      <c r="N30" s="13">
        <f t="shared" si="13"/>
        <v>2.1999999999999999E-2</v>
      </c>
      <c r="O30" s="13">
        <f t="shared" si="13"/>
        <v>2.1999999999999999E-2</v>
      </c>
    </row>
    <row r="31" spans="1:16" x14ac:dyDescent="0.25"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</row>
    <row r="32" spans="1:16" x14ac:dyDescent="0.25">
      <c r="A32" s="11" t="s">
        <v>47</v>
      </c>
      <c r="D32" s="17"/>
    </row>
    <row r="33" spans="1:16" x14ac:dyDescent="0.25">
      <c r="B33" s="11" t="s">
        <v>48</v>
      </c>
      <c r="D33" s="33">
        <v>4.9099999999999998E-2</v>
      </c>
      <c r="E33" s="34">
        <f>D33</f>
        <v>4.9099999999999998E-2</v>
      </c>
      <c r="F33" s="34">
        <f t="shared" ref="F33:O34" si="14">E33</f>
        <v>4.9099999999999998E-2</v>
      </c>
      <c r="G33" s="34">
        <f t="shared" si="14"/>
        <v>4.9099999999999998E-2</v>
      </c>
      <c r="H33" s="34">
        <f t="shared" si="14"/>
        <v>4.9099999999999998E-2</v>
      </c>
      <c r="I33" s="34">
        <f t="shared" si="14"/>
        <v>4.9099999999999998E-2</v>
      </c>
      <c r="J33" s="34">
        <f t="shared" si="14"/>
        <v>4.9099999999999998E-2</v>
      </c>
      <c r="K33" s="34">
        <f t="shared" si="14"/>
        <v>4.9099999999999998E-2</v>
      </c>
      <c r="L33" s="34">
        <f t="shared" si="14"/>
        <v>4.9099999999999998E-2</v>
      </c>
      <c r="M33" s="34">
        <f t="shared" si="14"/>
        <v>4.9099999999999998E-2</v>
      </c>
      <c r="N33" s="34">
        <f t="shared" si="14"/>
        <v>4.9099999999999998E-2</v>
      </c>
      <c r="O33" s="34">
        <f t="shared" si="14"/>
        <v>4.9099999999999998E-2</v>
      </c>
    </row>
    <row r="34" spans="1:16" x14ac:dyDescent="0.25">
      <c r="B34" s="11" t="s">
        <v>49</v>
      </c>
      <c r="D34" s="33">
        <v>1.2E-2</v>
      </c>
      <c r="E34" s="34">
        <f>D34</f>
        <v>1.2E-2</v>
      </c>
      <c r="F34" s="34">
        <f t="shared" si="14"/>
        <v>1.2E-2</v>
      </c>
      <c r="G34" s="34">
        <f t="shared" si="14"/>
        <v>1.2E-2</v>
      </c>
      <c r="H34" s="34">
        <f t="shared" si="14"/>
        <v>1.2E-2</v>
      </c>
      <c r="I34" s="34">
        <f t="shared" si="14"/>
        <v>1.2E-2</v>
      </c>
      <c r="J34" s="34">
        <f t="shared" si="14"/>
        <v>1.2E-2</v>
      </c>
      <c r="K34" s="34">
        <f t="shared" si="14"/>
        <v>1.2E-2</v>
      </c>
      <c r="L34" s="34">
        <f t="shared" si="14"/>
        <v>1.2E-2</v>
      </c>
      <c r="M34" s="34">
        <f t="shared" si="14"/>
        <v>1.2E-2</v>
      </c>
      <c r="N34" s="34">
        <f t="shared" si="14"/>
        <v>1.2E-2</v>
      </c>
      <c r="O34" s="34">
        <f t="shared" si="14"/>
        <v>1.2E-2</v>
      </c>
    </row>
    <row r="35" spans="1:16" x14ac:dyDescent="0.25">
      <c r="D35" s="17"/>
    </row>
    <row r="36" spans="1:16" x14ac:dyDescent="0.25">
      <c r="B36" s="11" t="s">
        <v>50</v>
      </c>
      <c r="D36" s="5">
        <f>D26*D33/12</f>
        <v>954.92134999999996</v>
      </c>
      <c r="E36" s="5">
        <f t="shared" ref="E36:O36" si="15">E26*E33/12</f>
        <v>953.01463333333322</v>
      </c>
      <c r="F36" s="5">
        <f>F26*F33/12</f>
        <v>951.11200833333339</v>
      </c>
      <c r="G36" s="5">
        <f t="shared" si="15"/>
        <v>949.20529166666665</v>
      </c>
      <c r="H36" s="5">
        <f>H26*H33/12</f>
        <v>947.3026666666666</v>
      </c>
      <c r="I36" s="5">
        <f t="shared" si="15"/>
        <v>945.39594999999997</v>
      </c>
      <c r="J36" s="5">
        <f t="shared" si="15"/>
        <v>943.49332499999991</v>
      </c>
      <c r="K36" s="5">
        <f t="shared" si="15"/>
        <v>941.5866083333334</v>
      </c>
      <c r="L36" s="5">
        <f t="shared" si="15"/>
        <v>939.68398333333334</v>
      </c>
      <c r="M36" s="5">
        <f t="shared" si="15"/>
        <v>937.77726666666661</v>
      </c>
      <c r="N36" s="5">
        <f>N26*N33/12</f>
        <v>935.87054999999998</v>
      </c>
      <c r="O36" s="5">
        <f t="shared" si="15"/>
        <v>933.96792499999992</v>
      </c>
      <c r="P36" s="2">
        <f>SUM(D36:O36)</f>
        <v>11333.331558333331</v>
      </c>
    </row>
    <row r="37" spans="1:16" x14ac:dyDescent="0.25">
      <c r="B37" s="11" t="s">
        <v>51</v>
      </c>
      <c r="D37" s="27">
        <f t="shared" ref="D37:O37" si="16">D26*D34/12</f>
        <v>233.38199999999998</v>
      </c>
      <c r="E37" s="27">
        <f t="shared" si="16"/>
        <v>232.91600000000003</v>
      </c>
      <c r="F37" s="27">
        <f t="shared" si="16"/>
        <v>232.45100000000002</v>
      </c>
      <c r="G37" s="27">
        <f t="shared" si="16"/>
        <v>231.98500000000001</v>
      </c>
      <c r="H37" s="27">
        <f t="shared" si="16"/>
        <v>231.52</v>
      </c>
      <c r="I37" s="27">
        <f t="shared" si="16"/>
        <v>231.054</v>
      </c>
      <c r="J37" s="27">
        <f t="shared" si="16"/>
        <v>230.58900000000003</v>
      </c>
      <c r="K37" s="27">
        <f t="shared" si="16"/>
        <v>230.12300000000002</v>
      </c>
      <c r="L37" s="27">
        <f t="shared" si="16"/>
        <v>229.65800000000002</v>
      </c>
      <c r="M37" s="27">
        <f t="shared" si="16"/>
        <v>229.19200000000001</v>
      </c>
      <c r="N37" s="27">
        <f t="shared" si="16"/>
        <v>228.726</v>
      </c>
      <c r="O37" s="27">
        <f t="shared" si="16"/>
        <v>228.261</v>
      </c>
      <c r="P37" s="27">
        <f>SUM(D37:O37)</f>
        <v>2769.8570000000004</v>
      </c>
    </row>
    <row r="38" spans="1:16" ht="15.75" thickBot="1" x14ac:dyDescent="0.3">
      <c r="B38" s="11" t="s">
        <v>52</v>
      </c>
      <c r="D38" s="28">
        <f>SUM(D36:D37)</f>
        <v>1188.3033499999999</v>
      </c>
      <c r="E38" s="28">
        <f t="shared" ref="E38:O38" si="17">SUM(E36:E37)</f>
        <v>1185.9306333333332</v>
      </c>
      <c r="F38" s="28">
        <f t="shared" si="17"/>
        <v>1183.5630083333335</v>
      </c>
      <c r="G38" s="28">
        <f t="shared" si="17"/>
        <v>1181.1902916666668</v>
      </c>
      <c r="H38" s="28">
        <f t="shared" si="17"/>
        <v>1178.8226666666667</v>
      </c>
      <c r="I38" s="28">
        <f t="shared" si="17"/>
        <v>1176.4499499999999</v>
      </c>
      <c r="J38" s="28">
        <f t="shared" si="17"/>
        <v>1174.0823249999999</v>
      </c>
      <c r="K38" s="28">
        <f t="shared" si="17"/>
        <v>1171.7096083333333</v>
      </c>
      <c r="L38" s="28">
        <f t="shared" si="17"/>
        <v>1169.3419833333332</v>
      </c>
      <c r="M38" s="28">
        <f t="shared" si="17"/>
        <v>1166.9692666666665</v>
      </c>
      <c r="N38" s="28">
        <f t="shared" si="17"/>
        <v>1164.59655</v>
      </c>
      <c r="O38" s="28">
        <f t="shared" si="17"/>
        <v>1162.2289249999999</v>
      </c>
      <c r="P38" s="7">
        <f>SUM(P36:P37)</f>
        <v>14103.188558333331</v>
      </c>
    </row>
    <row r="39" spans="1:16" ht="15.75" thickTop="1" x14ac:dyDescent="0.25">
      <c r="D39" s="13"/>
    </row>
    <row r="40" spans="1:16" x14ac:dyDescent="0.25">
      <c r="A40" s="11" t="s">
        <v>53</v>
      </c>
      <c r="D40" s="13"/>
    </row>
    <row r="41" spans="1:16" x14ac:dyDescent="0.25">
      <c r="B41" s="11" t="s">
        <v>54</v>
      </c>
      <c r="D41" s="5">
        <f>SUM(C19*(D29/12))</f>
        <v>0</v>
      </c>
      <c r="E41" s="5">
        <f t="shared" ref="E41:O42" si="18">SUM(D19*(E29/12))</f>
        <v>0</v>
      </c>
      <c r="F41" s="5">
        <f t="shared" si="18"/>
        <v>0</v>
      </c>
      <c r="G41" s="5">
        <f t="shared" si="18"/>
        <v>0</v>
      </c>
      <c r="H41" s="5">
        <f t="shared" si="18"/>
        <v>0</v>
      </c>
      <c r="I41" s="5">
        <f t="shared" si="18"/>
        <v>0</v>
      </c>
      <c r="J41" s="5">
        <f t="shared" si="18"/>
        <v>0</v>
      </c>
      <c r="K41" s="5">
        <f t="shared" si="18"/>
        <v>0</v>
      </c>
      <c r="L41" s="5">
        <f t="shared" si="18"/>
        <v>0</v>
      </c>
      <c r="M41" s="5">
        <f t="shared" si="18"/>
        <v>0</v>
      </c>
      <c r="N41" s="5">
        <f t="shared" si="18"/>
        <v>0</v>
      </c>
      <c r="O41" s="5">
        <f>SUM(N19*(O29/12))</f>
        <v>0</v>
      </c>
      <c r="P41" s="2">
        <f>SUM(D41:O41)</f>
        <v>0</v>
      </c>
    </row>
    <row r="42" spans="1:16" x14ac:dyDescent="0.25">
      <c r="B42" s="11" t="s">
        <v>55</v>
      </c>
      <c r="D42" s="6">
        <f>SUM(C20*(D30/12))</f>
        <v>465.54595999999998</v>
      </c>
      <c r="E42" s="6">
        <f t="shared" si="18"/>
        <v>465.54595999999998</v>
      </c>
      <c r="F42" s="6">
        <f t="shared" si="18"/>
        <v>465.54595999999998</v>
      </c>
      <c r="G42" s="6">
        <f t="shared" si="18"/>
        <v>465.54595999999998</v>
      </c>
      <c r="H42" s="6">
        <f t="shared" si="18"/>
        <v>465.54595999999998</v>
      </c>
      <c r="I42" s="6">
        <f t="shared" si="18"/>
        <v>465.54595999999998</v>
      </c>
      <c r="J42" s="6">
        <f t="shared" si="18"/>
        <v>465.54595999999998</v>
      </c>
      <c r="K42" s="6">
        <f t="shared" si="18"/>
        <v>465.54595999999998</v>
      </c>
      <c r="L42" s="6">
        <f t="shared" si="18"/>
        <v>465.54595999999998</v>
      </c>
      <c r="M42" s="6">
        <f t="shared" si="18"/>
        <v>465.54595999999998</v>
      </c>
      <c r="N42" s="6">
        <f>SUM(M20*(N30/12))</f>
        <v>465.54595999999998</v>
      </c>
      <c r="O42" s="6">
        <f t="shared" si="18"/>
        <v>465.54595999999998</v>
      </c>
      <c r="P42" s="5">
        <f>SUM(D42:O42)</f>
        <v>5586.5515200000009</v>
      </c>
    </row>
    <row r="43" spans="1:16" x14ac:dyDescent="0.25">
      <c r="B43" s="11" t="s">
        <v>56</v>
      </c>
      <c r="C43" s="13">
        <v>0.02</v>
      </c>
      <c r="D43" s="5">
        <f>$C24*($C43/12)</f>
        <v>389.35778480277781</v>
      </c>
      <c r="E43" s="5">
        <f t="shared" ref="E43:O43" si="19">$C24*($C43/12)</f>
        <v>389.35778480277781</v>
      </c>
      <c r="F43" s="5">
        <f>$C24*($C43/12)</f>
        <v>389.35778480277781</v>
      </c>
      <c r="G43" s="5">
        <f t="shared" si="19"/>
        <v>389.35778480277781</v>
      </c>
      <c r="H43" s="5">
        <f t="shared" si="19"/>
        <v>389.35778480277781</v>
      </c>
      <c r="I43" s="5">
        <f t="shared" si="19"/>
        <v>389.35778480277781</v>
      </c>
      <c r="J43" s="5">
        <f t="shared" si="19"/>
        <v>389.35778480277781</v>
      </c>
      <c r="K43" s="5">
        <f t="shared" si="19"/>
        <v>389.35778480277781</v>
      </c>
      <c r="L43" s="5">
        <f t="shared" si="19"/>
        <v>389.35778480277781</v>
      </c>
      <c r="M43" s="5">
        <f t="shared" si="19"/>
        <v>389.35778480277781</v>
      </c>
      <c r="N43" s="5">
        <f t="shared" si="19"/>
        <v>389.35778480277781</v>
      </c>
      <c r="O43" s="5">
        <f t="shared" si="19"/>
        <v>389.35778480277781</v>
      </c>
      <c r="P43" s="2">
        <f>SUM(D43:O43)</f>
        <v>4672.2934176333347</v>
      </c>
    </row>
    <row r="44" spans="1:16" x14ac:dyDescent="0.25">
      <c r="B44" s="11" t="s">
        <v>57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35">
        <v>0</v>
      </c>
      <c r="P44" s="2">
        <f>SUM(D44:O44)</f>
        <v>0</v>
      </c>
    </row>
    <row r="45" spans="1:16" x14ac:dyDescent="0.25">
      <c r="B45" s="11" t="s">
        <v>58</v>
      </c>
      <c r="D45" s="35">
        <v>0</v>
      </c>
      <c r="E45" s="35">
        <v>0</v>
      </c>
      <c r="F45" s="35">
        <v>0</v>
      </c>
      <c r="G45" s="36">
        <v>0</v>
      </c>
      <c r="H45" s="36">
        <v>0</v>
      </c>
      <c r="I45" s="36">
        <v>0</v>
      </c>
      <c r="J45" s="36">
        <v>0</v>
      </c>
      <c r="K45" s="36">
        <v>0</v>
      </c>
      <c r="L45" s="37">
        <v>0</v>
      </c>
      <c r="M45" s="37">
        <v>0</v>
      </c>
      <c r="N45" s="36">
        <v>0</v>
      </c>
      <c r="O45" s="36">
        <v>0</v>
      </c>
      <c r="P45" s="27">
        <f>SUM(D45:O45)</f>
        <v>0</v>
      </c>
    </row>
    <row r="46" spans="1:16" ht="15.75" thickBot="1" x14ac:dyDescent="0.3">
      <c r="B46" s="11" t="s">
        <v>59</v>
      </c>
      <c r="D46" s="7">
        <f>SUM(D41:D45)</f>
        <v>854.90374480277774</v>
      </c>
      <c r="E46" s="7">
        <f t="shared" ref="E46:O46" si="20">SUM(E41:E45)</f>
        <v>854.90374480277774</v>
      </c>
      <c r="F46" s="7">
        <f t="shared" si="20"/>
        <v>854.90374480277774</v>
      </c>
      <c r="G46" s="7">
        <f t="shared" si="20"/>
        <v>854.90374480277774</v>
      </c>
      <c r="H46" s="7">
        <f t="shared" si="20"/>
        <v>854.90374480277774</v>
      </c>
      <c r="I46" s="7">
        <f t="shared" si="20"/>
        <v>854.90374480277774</v>
      </c>
      <c r="J46" s="7">
        <f t="shared" si="20"/>
        <v>854.90374480277774</v>
      </c>
      <c r="K46" s="7">
        <f t="shared" si="20"/>
        <v>854.90374480277774</v>
      </c>
      <c r="L46" s="7">
        <f t="shared" si="20"/>
        <v>854.90374480277774</v>
      </c>
      <c r="M46" s="7">
        <f t="shared" si="20"/>
        <v>854.90374480277774</v>
      </c>
      <c r="N46" s="7">
        <f t="shared" si="20"/>
        <v>854.90374480277774</v>
      </c>
      <c r="O46" s="7">
        <f t="shared" si="20"/>
        <v>854.90374480277774</v>
      </c>
      <c r="P46" s="28">
        <f>SUM(P41:P45)</f>
        <v>10258.844937633336</v>
      </c>
    </row>
    <row r="47" spans="1:16" ht="15.75" thickTop="1" x14ac:dyDescent="0.25">
      <c r="D47" s="38"/>
    </row>
    <row r="48" spans="1:16" ht="15.75" thickBot="1" x14ac:dyDescent="0.3">
      <c r="A48" s="11" t="s">
        <v>60</v>
      </c>
      <c r="D48" s="28">
        <f>D38+D46</f>
        <v>2043.2070948027776</v>
      </c>
      <c r="E48" s="28">
        <f t="shared" ref="E48:P48" si="21">E38+E46</f>
        <v>2040.8343781361109</v>
      </c>
      <c r="F48" s="28">
        <f t="shared" si="21"/>
        <v>2038.4667531361113</v>
      </c>
      <c r="G48" s="28">
        <f t="shared" si="21"/>
        <v>2036.0940364694445</v>
      </c>
      <c r="H48" s="28">
        <f>H38+H46</f>
        <v>2033.7264114694444</v>
      </c>
      <c r="I48" s="28">
        <f t="shared" si="21"/>
        <v>2031.3536948027777</v>
      </c>
      <c r="J48" s="28">
        <f t="shared" si="21"/>
        <v>2028.9860698027776</v>
      </c>
      <c r="K48" s="28">
        <f t="shared" si="21"/>
        <v>2026.6133531361111</v>
      </c>
      <c r="L48" s="28">
        <f t="shared" si="21"/>
        <v>2024.245728136111</v>
      </c>
      <c r="M48" s="28">
        <f t="shared" si="21"/>
        <v>2021.8730114694442</v>
      </c>
      <c r="N48" s="28">
        <f t="shared" si="21"/>
        <v>2019.5002948027777</v>
      </c>
      <c r="O48" s="28">
        <f t="shared" si="21"/>
        <v>2017.1326698027776</v>
      </c>
      <c r="P48" s="28">
        <f t="shared" si="21"/>
        <v>24362.033495966665</v>
      </c>
    </row>
    <row r="49" spans="1:16" ht="15.75" thickTop="1" x14ac:dyDescent="0.25">
      <c r="D49" s="38"/>
    </row>
    <row r="50" spans="1:16" ht="15" hidden="1" customHeight="1" x14ac:dyDescent="0.25">
      <c r="D50" s="38"/>
    </row>
    <row r="51" spans="1:16" ht="15" hidden="1" customHeight="1" x14ac:dyDescent="0.25">
      <c r="D51" s="38"/>
    </row>
    <row r="52" spans="1:16" ht="15" hidden="1" customHeight="1" x14ac:dyDescent="0.25">
      <c r="D52" s="38"/>
    </row>
    <row r="53" spans="1:16" x14ac:dyDescent="0.25">
      <c r="A53" s="11" t="s">
        <v>61</v>
      </c>
      <c r="D53" s="39">
        <v>3294.92</v>
      </c>
      <c r="E53" s="40">
        <v>2866.85</v>
      </c>
      <c r="F53" s="40">
        <v>2244.1</v>
      </c>
      <c r="G53" s="40">
        <v>2504.58</v>
      </c>
      <c r="H53" s="40">
        <v>2107.71</v>
      </c>
      <c r="I53" s="40">
        <v>1920.74</v>
      </c>
      <c r="J53" s="40">
        <v>1138.48</v>
      </c>
      <c r="K53" s="40">
        <v>2060.0500000000002</v>
      </c>
      <c r="L53" s="40">
        <v>1650.24</v>
      </c>
      <c r="M53" s="40">
        <v>1850.06</v>
      </c>
      <c r="N53" s="40">
        <v>2267.2399999999998</v>
      </c>
      <c r="O53" s="40">
        <v>2857.67</v>
      </c>
      <c r="P53" s="2">
        <f>SUM(D53:O53)</f>
        <v>26762.639999999999</v>
      </c>
    </row>
    <row r="54" spans="1:16" x14ac:dyDescent="0.25">
      <c r="A54" s="11" t="s">
        <v>62</v>
      </c>
      <c r="D54" s="41">
        <v>1.0050300000000001</v>
      </c>
      <c r="E54" s="41">
        <v>1.0050300000000001</v>
      </c>
      <c r="F54" s="41">
        <v>1.0050300000000001</v>
      </c>
      <c r="G54" s="41">
        <v>1.0050300000000001</v>
      </c>
      <c r="H54" s="41">
        <v>1.0050300000000001</v>
      </c>
      <c r="I54" s="41">
        <v>1.0050300000000001</v>
      </c>
      <c r="J54" s="41">
        <v>1.0050300000000001</v>
      </c>
      <c r="K54" s="41">
        <v>1.0050300000000001</v>
      </c>
      <c r="L54" s="41">
        <v>1.0050300000000001</v>
      </c>
      <c r="M54" s="41">
        <v>1.0050300000000001</v>
      </c>
      <c r="N54" s="41">
        <v>1.0050300000000001</v>
      </c>
      <c r="O54" s="41">
        <v>1.0050300000000001</v>
      </c>
      <c r="P54" s="42">
        <v>1.0050300000000001</v>
      </c>
    </row>
    <row r="55" spans="1:16" ht="15.75" thickBot="1" x14ac:dyDescent="0.3">
      <c r="A55" s="11" t="s">
        <v>63</v>
      </c>
      <c r="C55" s="17"/>
      <c r="D55" s="43">
        <f>D53/D54</f>
        <v>3278.4294996169265</v>
      </c>
      <c r="E55" s="43">
        <f t="shared" ref="E55:O55" si="22">E53/E54</f>
        <v>2852.5019153657099</v>
      </c>
      <c r="F55" s="43">
        <f t="shared" si="22"/>
        <v>2232.8686705869472</v>
      </c>
      <c r="G55" s="43">
        <f t="shared" si="22"/>
        <v>2492.0450135816836</v>
      </c>
      <c r="H55" s="43">
        <f t="shared" si="22"/>
        <v>2097.1612787677977</v>
      </c>
      <c r="I55" s="43">
        <f t="shared" si="22"/>
        <v>1911.1270310338994</v>
      </c>
      <c r="J55" s="43">
        <f t="shared" si="22"/>
        <v>1132.7821060067859</v>
      </c>
      <c r="K55" s="43">
        <f>K53/K54</f>
        <v>2049.7398087619276</v>
      </c>
      <c r="L55" s="43">
        <f t="shared" si="22"/>
        <v>1641.9808363929433</v>
      </c>
      <c r="M55" s="43">
        <f t="shared" si="22"/>
        <v>1840.8007721162551</v>
      </c>
      <c r="N55" s="43">
        <f t="shared" si="22"/>
        <v>2255.8928589196339</v>
      </c>
      <c r="O55" s="43">
        <f t="shared" si="22"/>
        <v>2843.3678596658806</v>
      </c>
      <c r="P55" s="43"/>
    </row>
    <row r="56" spans="1:16" ht="15.75" thickTop="1" x14ac:dyDescent="0.25">
      <c r="C56" s="17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</row>
    <row r="57" spans="1:16" x14ac:dyDescent="0.25">
      <c r="A57" s="11" t="s">
        <v>64</v>
      </c>
      <c r="C57" s="40">
        <f>'2020 Actual'!P57</f>
        <v>-8250</v>
      </c>
      <c r="D57" s="14">
        <f>IF(D55=0,0,ROUND(D48-D55,0))</f>
        <v>-1235</v>
      </c>
      <c r="E57" s="14">
        <f t="shared" ref="E57:O57" si="23">IF(E55=0,0,ROUND(E48-E55,0))</f>
        <v>-812</v>
      </c>
      <c r="F57" s="14">
        <f t="shared" si="23"/>
        <v>-194</v>
      </c>
      <c r="G57" s="14">
        <f t="shared" si="23"/>
        <v>-456</v>
      </c>
      <c r="H57" s="14">
        <f>IF(H55=0,0,ROUND(H48-H55,0))</f>
        <v>-63</v>
      </c>
      <c r="I57" s="14">
        <f t="shared" si="23"/>
        <v>120</v>
      </c>
      <c r="J57" s="14">
        <f t="shared" si="23"/>
        <v>896</v>
      </c>
      <c r="K57" s="14">
        <f t="shared" si="23"/>
        <v>-23</v>
      </c>
      <c r="L57" s="14">
        <f t="shared" si="23"/>
        <v>382</v>
      </c>
      <c r="M57" s="14">
        <f t="shared" si="23"/>
        <v>181</v>
      </c>
      <c r="N57" s="14">
        <f t="shared" si="23"/>
        <v>-236</v>
      </c>
      <c r="O57" s="14">
        <f t="shared" si="23"/>
        <v>-826</v>
      </c>
      <c r="P57" s="44">
        <f>SUM(C57:O57)</f>
        <v>-10516</v>
      </c>
    </row>
    <row r="58" spans="1:16" x14ac:dyDescent="0.25">
      <c r="A58" s="11" t="s">
        <v>65</v>
      </c>
      <c r="C58" s="40">
        <f>'2020 Actual'!P58</f>
        <v>-185</v>
      </c>
      <c r="D58" s="14">
        <f>IF(D57=0,0,ROUND((((+C59+D57)+C59)/2)*D66,0))</f>
        <v>0</v>
      </c>
      <c r="E58" s="14">
        <f>IF(E57=0,0,ROUND((((+D59+E57)+D59)/2)*E66,0))</f>
        <v>0</v>
      </c>
      <c r="F58" s="14">
        <f t="shared" ref="F58:O58" si="24">IF(F57=0,0,ROUND((((+E59+F57)+E59)/2)*F66,0))</f>
        <v>0</v>
      </c>
      <c r="G58" s="14">
        <f t="shared" si="24"/>
        <v>0</v>
      </c>
      <c r="H58" s="14">
        <f>IF(H57=0,0,ROUND((((+G59+H57)+G59)/2)*H66,0))</f>
        <v>0</v>
      </c>
      <c r="I58" s="14">
        <f t="shared" si="24"/>
        <v>0</v>
      </c>
      <c r="J58" s="14">
        <f t="shared" si="24"/>
        <v>0</v>
      </c>
      <c r="K58" s="14">
        <f t="shared" si="24"/>
        <v>0</v>
      </c>
      <c r="L58" s="14">
        <f t="shared" si="24"/>
        <v>0</v>
      </c>
      <c r="M58" s="14">
        <f t="shared" si="24"/>
        <v>0</v>
      </c>
      <c r="N58" s="14">
        <f>IF(N57=0,0,ROUND((((+M59+N57)+M59)/2)*N66,0))</f>
        <v>0</v>
      </c>
      <c r="O58" s="14">
        <f t="shared" si="24"/>
        <v>0</v>
      </c>
      <c r="P58" s="44">
        <f>SUM(C58:O58)</f>
        <v>-185</v>
      </c>
    </row>
    <row r="59" spans="1:16" ht="15.75" thickBot="1" x14ac:dyDescent="0.3">
      <c r="A59" s="11" t="s">
        <v>66</v>
      </c>
      <c r="C59" s="8">
        <f>SUM(C57:C58)</f>
        <v>-8435</v>
      </c>
      <c r="D59" s="8">
        <f>IF(D57=0,0,C59+D57+D58)</f>
        <v>-9670</v>
      </c>
      <c r="E59" s="8">
        <f>IF(E57=0,0,D59+E57+E58)</f>
        <v>-10482</v>
      </c>
      <c r="F59" s="8">
        <f>IF(F57=0,0,E59+F57+F58)</f>
        <v>-10676</v>
      </c>
      <c r="G59" s="8">
        <f t="shared" ref="G59:N59" si="25">IF(G57=0,0,F59+G57+G58)</f>
        <v>-11132</v>
      </c>
      <c r="H59" s="8">
        <f t="shared" si="25"/>
        <v>-11195</v>
      </c>
      <c r="I59" s="8">
        <f t="shared" si="25"/>
        <v>-11075</v>
      </c>
      <c r="J59" s="8">
        <f t="shared" si="25"/>
        <v>-10179</v>
      </c>
      <c r="K59" s="8">
        <f>IF(K57=0,0,J59+K57+K58)</f>
        <v>-10202</v>
      </c>
      <c r="L59" s="8">
        <f t="shared" si="25"/>
        <v>-9820</v>
      </c>
      <c r="M59" s="8">
        <f t="shared" si="25"/>
        <v>-9639</v>
      </c>
      <c r="N59" s="8">
        <f t="shared" si="25"/>
        <v>-9875</v>
      </c>
      <c r="O59" s="8">
        <f>IF(O57=0,0,N59+O57+O58)</f>
        <v>-10701</v>
      </c>
      <c r="P59" s="8">
        <f>+O59</f>
        <v>-10701</v>
      </c>
    </row>
    <row r="60" spans="1:16" ht="15.75" thickTop="1" x14ac:dyDescent="0.25">
      <c r="A60" s="11" t="s">
        <v>67</v>
      </c>
      <c r="C60" s="9">
        <f>'2020 Actual'!O60</f>
        <v>-8435</v>
      </c>
      <c r="D60" s="9">
        <v>-9616</v>
      </c>
      <c r="E60" s="9">
        <v>-10373</v>
      </c>
      <c r="F60" s="9">
        <v>-10676</v>
      </c>
      <c r="G60" s="9">
        <v>-11132</v>
      </c>
      <c r="H60" s="9">
        <v>-11195</v>
      </c>
      <c r="I60" s="9">
        <v>-11062</v>
      </c>
      <c r="J60" s="9">
        <v>-10140</v>
      </c>
      <c r="K60" s="9">
        <v>-10202</v>
      </c>
      <c r="L60" s="9">
        <v>-9820</v>
      </c>
      <c r="M60" s="9">
        <v>-9639</v>
      </c>
      <c r="N60" s="9">
        <v>-9875</v>
      </c>
      <c r="O60" s="9">
        <v>-10701</v>
      </c>
      <c r="P60" s="14"/>
    </row>
    <row r="61" spans="1:16" x14ac:dyDescent="0.25">
      <c r="A61" s="11" t="s">
        <v>68</v>
      </c>
      <c r="C61" s="10">
        <f>IF(C59=0,0,C60-C59)</f>
        <v>0</v>
      </c>
      <c r="D61" s="10">
        <f>IF(D59=0,0,D60-D59)</f>
        <v>54</v>
      </c>
      <c r="E61" s="10">
        <f>IF(E59=0,0,E60-E59)</f>
        <v>109</v>
      </c>
      <c r="F61" s="10">
        <f t="shared" ref="F61:L61" si="26">IF(F59=0,0,F60-F59)</f>
        <v>0</v>
      </c>
      <c r="G61" s="10">
        <f t="shared" si="26"/>
        <v>0</v>
      </c>
      <c r="H61" s="10">
        <f>IF(H59=0,0,H60-H59)</f>
        <v>0</v>
      </c>
      <c r="I61" s="10">
        <f t="shared" si="26"/>
        <v>13</v>
      </c>
      <c r="J61" s="10">
        <f>IF(J59=0,0,J60-J59)</f>
        <v>39</v>
      </c>
      <c r="K61" s="10">
        <f>IF(K59=0,0,K60-K59)</f>
        <v>0</v>
      </c>
      <c r="L61" s="10">
        <f t="shared" si="26"/>
        <v>0</v>
      </c>
      <c r="M61" s="10">
        <f>IF(M59=0,0,M60-M59)</f>
        <v>0</v>
      </c>
      <c r="N61" s="10">
        <f>IF(N59=0,0,N60-N59)</f>
        <v>0</v>
      </c>
      <c r="O61" s="10">
        <f>IF(O59=0,0,O60-O59)</f>
        <v>0</v>
      </c>
      <c r="P61" s="14"/>
    </row>
    <row r="62" spans="1:16" x14ac:dyDescent="0.25"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4"/>
    </row>
    <row r="63" spans="1:16" x14ac:dyDescent="0.25"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45"/>
    </row>
    <row r="64" spans="1:16" x14ac:dyDescent="0.25">
      <c r="A64" s="11" t="s">
        <v>69</v>
      </c>
      <c r="C64" s="12"/>
      <c r="D64" s="46">
        <f>'2020 Actual'!O65</f>
        <v>8.9999999999999998E-4</v>
      </c>
      <c r="E64" s="13">
        <f>+D65</f>
        <v>6.9999999999999999E-4</v>
      </c>
      <c r="F64" s="13">
        <f>+E65</f>
        <v>5.9999999999999995E-4</v>
      </c>
      <c r="G64" s="13">
        <f t="shared" ref="G64:O64" si="27">+F65</f>
        <v>4.0000000000000002E-4</v>
      </c>
      <c r="H64" s="13">
        <f t="shared" si="27"/>
        <v>4.0000000000000002E-4</v>
      </c>
      <c r="I64" s="13">
        <f t="shared" si="27"/>
        <v>2.9999999999999997E-4</v>
      </c>
      <c r="J64" s="13">
        <f t="shared" si="27"/>
        <v>4.0000000000000002E-4</v>
      </c>
      <c r="K64" s="13">
        <f t="shared" si="27"/>
        <v>5.0000000000000001E-4</v>
      </c>
      <c r="L64" s="13">
        <f t="shared" si="27"/>
        <v>5.0000000000000001E-4</v>
      </c>
      <c r="M64" s="13">
        <f t="shared" si="27"/>
        <v>5.0000000000000001E-4</v>
      </c>
      <c r="N64" s="13">
        <f t="shared" si="27"/>
        <v>5.9999999999999995E-4</v>
      </c>
      <c r="O64" s="13">
        <f t="shared" si="27"/>
        <v>6.9999999999999999E-4</v>
      </c>
    </row>
    <row r="65" spans="1:15" x14ac:dyDescent="0.25">
      <c r="A65" s="11" t="s">
        <v>70</v>
      </c>
      <c r="D65" s="46">
        <v>6.9999999999999999E-4</v>
      </c>
      <c r="E65" s="46">
        <v>5.9999999999999995E-4</v>
      </c>
      <c r="F65" s="46">
        <v>4.0000000000000002E-4</v>
      </c>
      <c r="G65" s="46">
        <v>4.0000000000000002E-4</v>
      </c>
      <c r="H65" s="46">
        <v>2.9999999999999997E-4</v>
      </c>
      <c r="I65" s="46">
        <v>4.0000000000000002E-4</v>
      </c>
      <c r="J65" s="46">
        <v>5.0000000000000001E-4</v>
      </c>
      <c r="K65" s="46">
        <v>5.0000000000000001E-4</v>
      </c>
      <c r="L65" s="46">
        <v>5.0000000000000001E-4</v>
      </c>
      <c r="M65" s="46">
        <v>5.9999999999999995E-4</v>
      </c>
      <c r="N65" s="46">
        <v>6.9999999999999999E-4</v>
      </c>
      <c r="O65" s="46">
        <v>5.0000000000000001E-4</v>
      </c>
    </row>
    <row r="66" spans="1:15" x14ac:dyDescent="0.25">
      <c r="A66" s="11" t="s">
        <v>71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</row>
    <row r="67" spans="1:15" x14ac:dyDescent="0.25"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</row>
    <row r="68" spans="1:15" x14ac:dyDescent="0.25"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</row>
    <row r="69" spans="1:15" x14ac:dyDescent="0.25">
      <c r="B69" s="47" t="s">
        <v>72</v>
      </c>
      <c r="D69" s="12">
        <v>438</v>
      </c>
      <c r="E69" s="12">
        <v>557</v>
      </c>
      <c r="F69" s="12">
        <v>71</v>
      </c>
      <c r="G69" s="12">
        <v>-220</v>
      </c>
      <c r="H69" s="12">
        <v>-2017</v>
      </c>
      <c r="I69" s="12">
        <v>-73</v>
      </c>
      <c r="J69" s="12">
        <v>994</v>
      </c>
      <c r="K69" s="12">
        <v>210</v>
      </c>
      <c r="L69" s="12">
        <v>542</v>
      </c>
      <c r="M69" s="12">
        <v>637</v>
      </c>
      <c r="N69" s="48">
        <f>SUM(D69:M69)</f>
        <v>1139</v>
      </c>
    </row>
    <row r="70" spans="1:15" x14ac:dyDescent="0.25">
      <c r="B70" s="47" t="s">
        <v>73</v>
      </c>
      <c r="D70" s="12">
        <v>-6</v>
      </c>
      <c r="E70" s="12">
        <v>-3</v>
      </c>
      <c r="F70" s="12">
        <v>-1</v>
      </c>
      <c r="G70" s="12">
        <v>-1</v>
      </c>
      <c r="H70" s="12">
        <v>-2</v>
      </c>
      <c r="I70" s="12">
        <v>-4</v>
      </c>
      <c r="J70" s="12">
        <v>-4</v>
      </c>
      <c r="K70" s="12">
        <v>-4</v>
      </c>
      <c r="L70" s="12">
        <v>-3</v>
      </c>
      <c r="M70" s="12">
        <v>-2</v>
      </c>
      <c r="N70" s="48">
        <f>SUM(D70:M70)</f>
        <v>-30</v>
      </c>
    </row>
    <row r="71" spans="1:15" x14ac:dyDescent="0.25"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</row>
    <row r="72" spans="1:15" x14ac:dyDescent="0.25"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</row>
    <row r="73" spans="1:15" x14ac:dyDescent="0.25">
      <c r="A73" s="11" t="s">
        <v>74</v>
      </c>
      <c r="D73" s="12"/>
      <c r="E73" s="12"/>
      <c r="L73" s="12"/>
    </row>
    <row r="74" spans="1:15" x14ac:dyDescent="0.25">
      <c r="D74" s="49" t="s">
        <v>75</v>
      </c>
      <c r="E74" s="50">
        <v>-1063</v>
      </c>
      <c r="F74" s="50">
        <v>-758</v>
      </c>
      <c r="G74" s="11">
        <v>6191</v>
      </c>
    </row>
    <row r="75" spans="1:15" x14ac:dyDescent="0.25">
      <c r="D75" s="11" t="s">
        <v>76</v>
      </c>
      <c r="E75" s="51">
        <v>-1569</v>
      </c>
      <c r="F75" s="51">
        <v>-1266</v>
      </c>
    </row>
    <row r="76" spans="1:15" x14ac:dyDescent="0.25">
      <c r="E76" s="50">
        <f>E74-E75</f>
        <v>506</v>
      </c>
      <c r="F76" s="50">
        <f>F74-F75</f>
        <v>508</v>
      </c>
    </row>
    <row r="77" spans="1:15" x14ac:dyDescent="0.25">
      <c r="E77" s="50"/>
      <c r="F77" s="52">
        <f>SUM(E76:F76)</f>
        <v>1014</v>
      </c>
    </row>
    <row r="78" spans="1:15" x14ac:dyDescent="0.25">
      <c r="E78" s="50"/>
      <c r="F78" s="50"/>
    </row>
    <row r="79" spans="1:15" x14ac:dyDescent="0.25">
      <c r="D79" s="49" t="s">
        <v>75</v>
      </c>
      <c r="E79" s="50">
        <v>12</v>
      </c>
      <c r="F79" s="50">
        <v>10</v>
      </c>
    </row>
    <row r="80" spans="1:15" x14ac:dyDescent="0.25">
      <c r="D80" s="11" t="s">
        <v>76</v>
      </c>
      <c r="E80" s="51">
        <v>6</v>
      </c>
      <c r="F80" s="51">
        <v>3</v>
      </c>
    </row>
    <row r="81" spans="5:6" x14ac:dyDescent="0.25">
      <c r="E81" s="50">
        <f>E79-E80</f>
        <v>6</v>
      </c>
      <c r="F81" s="50">
        <f>F79-F80</f>
        <v>7</v>
      </c>
    </row>
    <row r="82" spans="5:6" x14ac:dyDescent="0.25">
      <c r="E82" s="50"/>
      <c r="F82" s="52">
        <f>SUM(E81:F81)</f>
        <v>13</v>
      </c>
    </row>
    <row r="83" spans="5:6" x14ac:dyDescent="0.25">
      <c r="E83" s="50"/>
      <c r="F83" s="50"/>
    </row>
    <row r="84" spans="5:6" x14ac:dyDescent="0.25">
      <c r="E84" s="50"/>
      <c r="F84" s="50"/>
    </row>
  </sheetData>
  <protectedRanges>
    <protectedRange algorithmName="SHA-512" hashValue="Y0f+fjQCnaRWLlvfMZVc3EkjqjHaoFewCyIobSdifIUyNjrEbqpIlkRkSBC3oJ2HS1AZ3wrGx+wLKFbeX+raAw==" saltValue="JXTU+cc/Ptj3NJGegT29sg==" spinCount="100000" sqref="D9:O9 D11:O11 D13:O14 D65:O65 D53:O53 D60:O60" name="Range2"/>
    <protectedRange algorithmName="SHA-512" hashValue="QEhZahLMaTeTBc1tFDuCAyNbAiotcDrws67KNBJ8jeWkyFfe9XpO2DWYzw0Z5YSSA0pkWz4LgpmL5O9CkYpOgw==" saltValue="cg3naP2hJ7AprWVo8SKewQ==" spinCount="100000" sqref="C23 D29:D30 D33:D34 C43 D64:D65 C9:C14 C17:C20 C57:C58" name="January"/>
  </protectedRanges>
  <printOptions horizontalCentered="1"/>
  <pageMargins left="0.2" right="0.2" top="0.5" bottom="0.5" header="0.3" footer="0.3"/>
  <pageSetup scale="51" orientation="landscape" r:id="rId1"/>
  <headerFooter>
    <oddFooter>&amp;L&amp;D&amp;T&amp;R&amp;Z&amp;F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84"/>
  <sheetViews>
    <sheetView zoomScale="90" zoomScaleNormal="90" workbookViewId="0">
      <pane xSplit="2" ySplit="7" topLeftCell="D53" activePane="bottomRight" state="frozen"/>
      <selection activeCell="C11" sqref="C11"/>
      <selection pane="topRight" activeCell="C11" sqref="C11"/>
      <selection pane="bottomLeft" activeCell="C11" sqref="C11"/>
      <selection pane="bottomRight" activeCell="B34" sqref="B34"/>
    </sheetView>
  </sheetViews>
  <sheetFormatPr defaultColWidth="9.140625" defaultRowHeight="15" x14ac:dyDescent="0.25"/>
  <cols>
    <col min="1" max="1" width="12.42578125" style="11" customWidth="1"/>
    <col min="2" max="2" width="50.85546875" style="11" customWidth="1"/>
    <col min="3" max="3" width="13.85546875" style="11" customWidth="1"/>
    <col min="4" max="8" width="13.42578125" style="11" customWidth="1"/>
    <col min="9" max="9" width="15.140625" style="11" customWidth="1"/>
    <col min="10" max="11" width="14.85546875" style="11" customWidth="1"/>
    <col min="12" max="12" width="14.5703125" style="11" customWidth="1"/>
    <col min="13" max="13" width="14.140625" style="11" customWidth="1"/>
    <col min="14" max="14" width="16.5703125" style="11" customWidth="1"/>
    <col min="15" max="15" width="13.85546875" style="11" bestFit="1" customWidth="1"/>
    <col min="16" max="16" width="15.85546875" style="11" bestFit="1" customWidth="1"/>
    <col min="17" max="17" width="14.5703125" style="11" bestFit="1" customWidth="1"/>
    <col min="18" max="18" width="11.5703125" style="11" bestFit="1" customWidth="1"/>
    <col min="19" max="16384" width="9.140625" style="11"/>
  </cols>
  <sheetData>
    <row r="1" spans="1:18" ht="18.75" x14ac:dyDescent="0.3">
      <c r="B1" s="15" t="s">
        <v>0</v>
      </c>
      <c r="N1" s="11" t="s">
        <v>1</v>
      </c>
    </row>
    <row r="2" spans="1:18" x14ac:dyDescent="0.25">
      <c r="B2" s="16" t="s">
        <v>2</v>
      </c>
      <c r="G2" s="1"/>
      <c r="N2" s="11" t="s">
        <v>3</v>
      </c>
    </row>
    <row r="3" spans="1:18" x14ac:dyDescent="0.25">
      <c r="B3" s="16" t="s">
        <v>4</v>
      </c>
      <c r="N3" s="11" t="s">
        <v>5</v>
      </c>
    </row>
    <row r="4" spans="1:18" x14ac:dyDescent="0.25">
      <c r="B4" s="17" t="s">
        <v>77</v>
      </c>
    </row>
    <row r="5" spans="1:18" x14ac:dyDescent="0.25">
      <c r="A5" s="11" t="s">
        <v>7</v>
      </c>
      <c r="B5" s="18" t="s">
        <v>8</v>
      </c>
      <c r="C5" s="2">
        <f>C21-SUM(C9:C14)</f>
        <v>0</v>
      </c>
      <c r="D5" s="2">
        <f>IF(D15=0,0,D21-SUM(D9:D14)-C21)</f>
        <v>0</v>
      </c>
      <c r="E5" s="2">
        <f>IF(E15=0,0,E21-SUM(E9:E14)-D21)</f>
        <v>0</v>
      </c>
      <c r="F5" s="2">
        <f t="shared" ref="F5:N5" si="0">IF(F15=0,0,F21-SUM(F9:F14)-E21)</f>
        <v>0</v>
      </c>
      <c r="G5" s="2">
        <f t="shared" si="0"/>
        <v>0</v>
      </c>
      <c r="H5" s="2">
        <f t="shared" si="0"/>
        <v>0</v>
      </c>
      <c r="I5" s="2">
        <f t="shared" si="0"/>
        <v>0</v>
      </c>
      <c r="J5" s="2">
        <f t="shared" si="0"/>
        <v>0</v>
      </c>
      <c r="K5" s="2">
        <f t="shared" si="0"/>
        <v>0</v>
      </c>
      <c r="L5" s="2">
        <f t="shared" si="0"/>
        <v>0</v>
      </c>
      <c r="M5" s="2">
        <f t="shared" si="0"/>
        <v>0</v>
      </c>
      <c r="N5" s="2">
        <f t="shared" si="0"/>
        <v>0</v>
      </c>
      <c r="O5" s="2">
        <f>IF(O15=0,0,O21-SUM(O9:O14)-N21)</f>
        <v>0</v>
      </c>
      <c r="P5" s="11" t="s">
        <v>9</v>
      </c>
    </row>
    <row r="6" spans="1:18" x14ac:dyDescent="0.25">
      <c r="A6" s="19"/>
      <c r="B6" s="20"/>
      <c r="C6" s="17" t="s">
        <v>10</v>
      </c>
      <c r="P6" s="17" t="s">
        <v>11</v>
      </c>
    </row>
    <row r="7" spans="1:18" x14ac:dyDescent="0.25">
      <c r="A7" s="21" t="s">
        <v>12</v>
      </c>
      <c r="B7" s="22" t="s">
        <v>13</v>
      </c>
      <c r="C7" s="23" t="s">
        <v>14</v>
      </c>
      <c r="D7" s="23" t="s">
        <v>15</v>
      </c>
      <c r="E7" s="23" t="s">
        <v>16</v>
      </c>
      <c r="F7" s="23" t="s">
        <v>17</v>
      </c>
      <c r="G7" s="23" t="s">
        <v>18</v>
      </c>
      <c r="H7" s="23" t="s">
        <v>19</v>
      </c>
      <c r="I7" s="23" t="s">
        <v>20</v>
      </c>
      <c r="J7" s="23" t="s">
        <v>21</v>
      </c>
      <c r="K7" s="23" t="s">
        <v>22</v>
      </c>
      <c r="L7" s="23" t="s">
        <v>23</v>
      </c>
      <c r="M7" s="23" t="s">
        <v>24</v>
      </c>
      <c r="N7" s="23" t="s">
        <v>25</v>
      </c>
      <c r="O7" s="23" t="s">
        <v>26</v>
      </c>
      <c r="P7" s="23" t="s">
        <v>27</v>
      </c>
    </row>
    <row r="8" spans="1:18" x14ac:dyDescent="0.25">
      <c r="A8" s="11" t="s">
        <v>28</v>
      </c>
      <c r="O8" s="24"/>
    </row>
    <row r="9" spans="1:18" x14ac:dyDescent="0.25">
      <c r="B9" s="11" t="s">
        <v>29</v>
      </c>
      <c r="C9" s="25">
        <v>0</v>
      </c>
      <c r="D9" s="25">
        <v>0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5">
        <v>0</v>
      </c>
      <c r="K9" s="25">
        <v>0</v>
      </c>
      <c r="L9" s="25">
        <v>0</v>
      </c>
      <c r="M9" s="25">
        <v>0</v>
      </c>
      <c r="N9" s="25">
        <v>0</v>
      </c>
      <c r="O9" s="26">
        <v>0</v>
      </c>
      <c r="P9" s="2">
        <f t="shared" ref="P9:P14" si="1">SUM(C9:O9)</f>
        <v>0</v>
      </c>
      <c r="Q9" s="1"/>
      <c r="R9" s="2"/>
    </row>
    <row r="10" spans="1:18" x14ac:dyDescent="0.25">
      <c r="B10" s="11" t="s">
        <v>30</v>
      </c>
      <c r="C10" s="25">
        <v>0</v>
      </c>
      <c r="D10" s="3">
        <f t="shared" ref="D10:O10" si="2">-D13</f>
        <v>0</v>
      </c>
      <c r="E10" s="3">
        <f t="shared" si="2"/>
        <v>0</v>
      </c>
      <c r="F10" s="3">
        <f t="shared" si="2"/>
        <v>0</v>
      </c>
      <c r="G10" s="3">
        <f t="shared" si="2"/>
        <v>0</v>
      </c>
      <c r="H10" s="3">
        <f t="shared" si="2"/>
        <v>0</v>
      </c>
      <c r="I10" s="3">
        <f t="shared" si="2"/>
        <v>0</v>
      </c>
      <c r="J10" s="3">
        <f t="shared" si="2"/>
        <v>0</v>
      </c>
      <c r="K10" s="3">
        <f t="shared" si="2"/>
        <v>0</v>
      </c>
      <c r="L10" s="3">
        <f t="shared" si="2"/>
        <v>0</v>
      </c>
      <c r="M10" s="3">
        <f t="shared" si="2"/>
        <v>0</v>
      </c>
      <c r="N10" s="3">
        <f t="shared" si="2"/>
        <v>0</v>
      </c>
      <c r="O10" s="4">
        <f t="shared" si="2"/>
        <v>0</v>
      </c>
      <c r="P10" s="2">
        <f t="shared" si="1"/>
        <v>0</v>
      </c>
      <c r="Q10" s="1"/>
      <c r="R10" s="1"/>
    </row>
    <row r="11" spans="1:18" x14ac:dyDescent="0.25">
      <c r="B11" s="11" t="s">
        <v>31</v>
      </c>
      <c r="C11" s="25">
        <v>253934.16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25">
        <v>0</v>
      </c>
      <c r="O11" s="26">
        <v>0</v>
      </c>
      <c r="P11" s="2">
        <f t="shared" si="1"/>
        <v>253934.16</v>
      </c>
    </row>
    <row r="12" spans="1:18" x14ac:dyDescent="0.25">
      <c r="B12" s="11" t="s">
        <v>32</v>
      </c>
      <c r="C12" s="25">
        <v>-253934.16</v>
      </c>
      <c r="D12" s="3">
        <f t="shared" ref="D12:O12" si="3">-D14</f>
        <v>0</v>
      </c>
      <c r="E12" s="3">
        <f t="shared" si="3"/>
        <v>0</v>
      </c>
      <c r="F12" s="3">
        <f t="shared" si="3"/>
        <v>0</v>
      </c>
      <c r="G12" s="3">
        <f t="shared" si="3"/>
        <v>0</v>
      </c>
      <c r="H12" s="3">
        <f>-H14</f>
        <v>0</v>
      </c>
      <c r="I12" s="3">
        <f t="shared" si="3"/>
        <v>0</v>
      </c>
      <c r="J12" s="3">
        <f t="shared" si="3"/>
        <v>0</v>
      </c>
      <c r="K12" s="3">
        <f t="shared" si="3"/>
        <v>0</v>
      </c>
      <c r="L12" s="3">
        <f t="shared" si="3"/>
        <v>0</v>
      </c>
      <c r="M12" s="3">
        <f t="shared" si="3"/>
        <v>0</v>
      </c>
      <c r="N12" s="3">
        <f t="shared" si="3"/>
        <v>0</v>
      </c>
      <c r="O12" s="4">
        <f t="shared" si="3"/>
        <v>0</v>
      </c>
      <c r="P12" s="2">
        <f>SUM(C12:O12)</f>
        <v>-253934.16</v>
      </c>
    </row>
    <row r="13" spans="1:18" x14ac:dyDescent="0.25">
      <c r="B13" s="11" t="s">
        <v>33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6">
        <v>0</v>
      </c>
      <c r="P13" s="2">
        <f t="shared" si="1"/>
        <v>0</v>
      </c>
      <c r="R13" s="2"/>
    </row>
    <row r="14" spans="1:18" x14ac:dyDescent="0.25">
      <c r="B14" s="11" t="s">
        <v>34</v>
      </c>
      <c r="C14" s="25">
        <v>253934.16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6">
        <v>0</v>
      </c>
      <c r="P14" s="27">
        <f t="shared" si="1"/>
        <v>253934.16</v>
      </c>
      <c r="Q14" s="1"/>
      <c r="R14" s="2"/>
    </row>
    <row r="15" spans="1:18" ht="15.75" thickBot="1" x14ac:dyDescent="0.3">
      <c r="B15" s="11" t="s">
        <v>35</v>
      </c>
      <c r="C15" s="7">
        <f>SUM(C9:C14)</f>
        <v>253934.16</v>
      </c>
      <c r="D15" s="7">
        <f t="shared" ref="D15:O15" si="4">IF(ISBLANK(D9),0,SUM(D9:D14)+C15)</f>
        <v>253934.16</v>
      </c>
      <c r="E15" s="7">
        <f t="shared" si="4"/>
        <v>253934.16</v>
      </c>
      <c r="F15" s="7">
        <f t="shared" si="4"/>
        <v>253934.16</v>
      </c>
      <c r="G15" s="7">
        <f t="shared" si="4"/>
        <v>253934.16</v>
      </c>
      <c r="H15" s="7">
        <f t="shared" si="4"/>
        <v>253934.16</v>
      </c>
      <c r="I15" s="7">
        <f t="shared" si="4"/>
        <v>253934.16</v>
      </c>
      <c r="J15" s="7">
        <f t="shared" si="4"/>
        <v>253934.16</v>
      </c>
      <c r="K15" s="7">
        <f t="shared" si="4"/>
        <v>253934.16</v>
      </c>
      <c r="L15" s="7">
        <f t="shared" si="4"/>
        <v>253934.16</v>
      </c>
      <c r="M15" s="7">
        <f>IF(ISBLANK(M9),0,SUM(M9:M14)+L15)</f>
        <v>253934.16</v>
      </c>
      <c r="N15" s="7">
        <f t="shared" si="4"/>
        <v>253934.16</v>
      </c>
      <c r="O15" s="7">
        <f t="shared" si="4"/>
        <v>253934.16</v>
      </c>
      <c r="P15" s="28">
        <f>SUM(P9:P14)</f>
        <v>253934.16</v>
      </c>
    </row>
    <row r="16" spans="1:18" ht="15.75" thickTop="1" x14ac:dyDescent="0.25"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x14ac:dyDescent="0.25">
      <c r="B17" s="11" t="s">
        <v>36</v>
      </c>
      <c r="C17" s="25">
        <v>0</v>
      </c>
      <c r="D17" s="2">
        <f>IF(ISBLANK(D9),0,SUM(D9:D10)+C17)</f>
        <v>0</v>
      </c>
      <c r="E17" s="2">
        <f t="shared" ref="E17:O17" si="5">IF(ISBLANK(E9),0,SUM(E9:E10)+D17)</f>
        <v>0</v>
      </c>
      <c r="F17" s="2">
        <f t="shared" si="5"/>
        <v>0</v>
      </c>
      <c r="G17" s="2">
        <f t="shared" si="5"/>
        <v>0</v>
      </c>
      <c r="H17" s="2">
        <f t="shared" si="5"/>
        <v>0</v>
      </c>
      <c r="I17" s="2">
        <f t="shared" si="5"/>
        <v>0</v>
      </c>
      <c r="J17" s="2">
        <f t="shared" si="5"/>
        <v>0</v>
      </c>
      <c r="K17" s="2">
        <f t="shared" si="5"/>
        <v>0</v>
      </c>
      <c r="L17" s="2">
        <f t="shared" si="5"/>
        <v>0</v>
      </c>
      <c r="M17" s="2">
        <f t="shared" si="5"/>
        <v>0</v>
      </c>
      <c r="N17" s="2">
        <f t="shared" si="5"/>
        <v>0</v>
      </c>
      <c r="O17" s="2">
        <f t="shared" si="5"/>
        <v>0</v>
      </c>
      <c r="P17" s="2">
        <f>+O17</f>
        <v>0</v>
      </c>
    </row>
    <row r="18" spans="1:16" x14ac:dyDescent="0.25">
      <c r="B18" s="11" t="s">
        <v>37</v>
      </c>
      <c r="C18" s="25">
        <v>1.8189894035458565E-12</v>
      </c>
      <c r="D18" s="5">
        <f>IF(ISBLANK(D11),0,C18+SUM(D11:D12))</f>
        <v>1.8189894035458565E-12</v>
      </c>
      <c r="E18" s="5">
        <f>IF(ISBLANK(E11),0,D18+SUM(E11:E12))</f>
        <v>1.8189894035458565E-12</v>
      </c>
      <c r="F18" s="5">
        <f t="shared" ref="F18:O18" si="6">IF(ISBLANK(F11),0,E18+SUM(F11:F12))</f>
        <v>1.8189894035458565E-12</v>
      </c>
      <c r="G18" s="5">
        <f t="shared" si="6"/>
        <v>1.8189894035458565E-12</v>
      </c>
      <c r="H18" s="5">
        <f t="shared" si="6"/>
        <v>1.8189894035458565E-12</v>
      </c>
      <c r="I18" s="5">
        <f>IF(ISBLANK(I11),0,H18+SUM(I11:I12))</f>
        <v>1.8189894035458565E-12</v>
      </c>
      <c r="J18" s="5">
        <f t="shared" si="6"/>
        <v>1.8189894035458565E-12</v>
      </c>
      <c r="K18" s="5">
        <f t="shared" si="6"/>
        <v>1.8189894035458565E-12</v>
      </c>
      <c r="L18" s="5">
        <f t="shared" si="6"/>
        <v>1.8189894035458565E-12</v>
      </c>
      <c r="M18" s="5">
        <f t="shared" si="6"/>
        <v>1.8189894035458565E-12</v>
      </c>
      <c r="N18" s="5">
        <f t="shared" si="6"/>
        <v>1.8189894035458565E-12</v>
      </c>
      <c r="O18" s="5">
        <f t="shared" si="6"/>
        <v>1.8189894035458565E-12</v>
      </c>
      <c r="P18" s="2">
        <f>+O18</f>
        <v>1.8189894035458565E-12</v>
      </c>
    </row>
    <row r="19" spans="1:16" x14ac:dyDescent="0.25">
      <c r="B19" s="11" t="s">
        <v>38</v>
      </c>
      <c r="C19" s="25">
        <v>0</v>
      </c>
      <c r="D19" s="2">
        <f>IF(ISBLANK(D13),0,C19+D13)</f>
        <v>0</v>
      </c>
      <c r="E19" s="2">
        <f t="shared" ref="E19:O19" si="7">IF(ISBLANK(E13),0,D19+E13)</f>
        <v>0</v>
      </c>
      <c r="F19" s="2">
        <f t="shared" si="7"/>
        <v>0</v>
      </c>
      <c r="G19" s="2">
        <f t="shared" si="7"/>
        <v>0</v>
      </c>
      <c r="H19" s="2">
        <f t="shared" si="7"/>
        <v>0</v>
      </c>
      <c r="I19" s="2">
        <f t="shared" si="7"/>
        <v>0</v>
      </c>
      <c r="J19" s="2">
        <f t="shared" si="7"/>
        <v>0</v>
      </c>
      <c r="K19" s="2">
        <f t="shared" si="7"/>
        <v>0</v>
      </c>
      <c r="L19" s="2">
        <f t="shared" si="7"/>
        <v>0</v>
      </c>
      <c r="M19" s="2">
        <f t="shared" si="7"/>
        <v>0</v>
      </c>
      <c r="N19" s="2">
        <f t="shared" si="7"/>
        <v>0</v>
      </c>
      <c r="O19" s="2">
        <f t="shared" si="7"/>
        <v>0</v>
      </c>
      <c r="P19" s="2">
        <f>O19</f>
        <v>0</v>
      </c>
    </row>
    <row r="20" spans="1:16" x14ac:dyDescent="0.25">
      <c r="B20" s="11" t="s">
        <v>39</v>
      </c>
      <c r="C20" s="25">
        <v>253934.16</v>
      </c>
      <c r="D20" s="27">
        <f>IF(ISBLANK(D14),0,D14+C20)</f>
        <v>253934.16</v>
      </c>
      <c r="E20" s="27">
        <f t="shared" ref="E20:O20" si="8">IF(ISBLANK(E14),0,E14+D20)</f>
        <v>253934.16</v>
      </c>
      <c r="F20" s="27">
        <f t="shared" si="8"/>
        <v>253934.16</v>
      </c>
      <c r="G20" s="27">
        <f t="shared" si="8"/>
        <v>253934.16</v>
      </c>
      <c r="H20" s="27">
        <f t="shared" si="8"/>
        <v>253934.16</v>
      </c>
      <c r="I20" s="27">
        <f t="shared" si="8"/>
        <v>253934.16</v>
      </c>
      <c r="J20" s="27">
        <f t="shared" si="8"/>
        <v>253934.16</v>
      </c>
      <c r="K20" s="27">
        <f t="shared" si="8"/>
        <v>253934.16</v>
      </c>
      <c r="L20" s="27">
        <f t="shared" si="8"/>
        <v>253934.16</v>
      </c>
      <c r="M20" s="27">
        <f t="shared" si="8"/>
        <v>253934.16</v>
      </c>
      <c r="N20" s="27">
        <f t="shared" si="8"/>
        <v>253934.16</v>
      </c>
      <c r="O20" s="27">
        <f t="shared" si="8"/>
        <v>253934.16</v>
      </c>
      <c r="P20" s="27">
        <f>O20</f>
        <v>253934.16</v>
      </c>
    </row>
    <row r="21" spans="1:16" ht="15.75" thickBot="1" x14ac:dyDescent="0.3">
      <c r="B21" s="11" t="s">
        <v>40</v>
      </c>
      <c r="C21" s="7">
        <f>SUM(C17:C20)</f>
        <v>253934.16</v>
      </c>
      <c r="D21" s="7">
        <f>SUM(D17:D20)</f>
        <v>253934.16</v>
      </c>
      <c r="E21" s="7">
        <f t="shared" ref="E21:P21" si="9">SUM(E17:E20)</f>
        <v>253934.16</v>
      </c>
      <c r="F21" s="7">
        <f t="shared" si="9"/>
        <v>253934.16</v>
      </c>
      <c r="G21" s="7">
        <f t="shared" si="9"/>
        <v>253934.16</v>
      </c>
      <c r="H21" s="7">
        <f>SUM(H17:H20)</f>
        <v>253934.16</v>
      </c>
      <c r="I21" s="7">
        <f t="shared" si="9"/>
        <v>253934.16</v>
      </c>
      <c r="J21" s="7">
        <f t="shared" si="9"/>
        <v>253934.16</v>
      </c>
      <c r="K21" s="7">
        <f t="shared" si="9"/>
        <v>253934.16</v>
      </c>
      <c r="L21" s="7">
        <f t="shared" si="9"/>
        <v>253934.16</v>
      </c>
      <c r="M21" s="7">
        <f t="shared" si="9"/>
        <v>253934.16</v>
      </c>
      <c r="N21" s="7">
        <f t="shared" si="9"/>
        <v>253934.16</v>
      </c>
      <c r="O21" s="7">
        <f t="shared" si="9"/>
        <v>253934.16</v>
      </c>
      <c r="P21" s="7">
        <f t="shared" si="9"/>
        <v>253934.16</v>
      </c>
    </row>
    <row r="22" spans="1:16" ht="15.75" thickTop="1" x14ac:dyDescent="0.25"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"/>
    </row>
    <row r="23" spans="1:16" x14ac:dyDescent="0.25">
      <c r="B23" s="11" t="s">
        <v>41</v>
      </c>
      <c r="C23" s="29">
        <v>-14732.937598333332</v>
      </c>
      <c r="D23" s="5">
        <f>C23-D41-D42</f>
        <v>-15198.483558333332</v>
      </c>
      <c r="E23" s="5">
        <f>D23-E41-E42</f>
        <v>-15664.029518333331</v>
      </c>
      <c r="F23" s="5">
        <f t="shared" ref="F23:N23" si="10">E23-F41-F42</f>
        <v>-16129.57547833333</v>
      </c>
      <c r="G23" s="5">
        <f t="shared" si="10"/>
        <v>-16595.121438333332</v>
      </c>
      <c r="H23" s="5">
        <f t="shared" si="10"/>
        <v>-17060.667398333331</v>
      </c>
      <c r="I23" s="5">
        <f t="shared" si="10"/>
        <v>-17526.213358333331</v>
      </c>
      <c r="J23" s="5">
        <f t="shared" si="10"/>
        <v>-17991.75931833333</v>
      </c>
      <c r="K23" s="5">
        <f t="shared" si="10"/>
        <v>-18457.30527833333</v>
      </c>
      <c r="L23" s="5">
        <f t="shared" si="10"/>
        <v>-18922.851238333329</v>
      </c>
      <c r="M23" s="5">
        <f t="shared" si="10"/>
        <v>-19388.397198333329</v>
      </c>
      <c r="N23" s="5">
        <f t="shared" si="10"/>
        <v>-19853.943158333328</v>
      </c>
      <c r="O23" s="5">
        <f>N23-O41-O42</f>
        <v>-20319.489118333327</v>
      </c>
      <c r="P23" s="5">
        <f>O23</f>
        <v>-20319.489118333327</v>
      </c>
    </row>
    <row r="24" spans="1:16" ht="15.75" thickBot="1" x14ac:dyDescent="0.3">
      <c r="B24" s="11" t="s">
        <v>42</v>
      </c>
      <c r="C24" s="7">
        <f>C21+C23</f>
        <v>239201.22240166666</v>
      </c>
      <c r="D24" s="7">
        <f>D21+D23</f>
        <v>238735.67644166667</v>
      </c>
      <c r="E24" s="7">
        <f t="shared" ref="E24:O24" si="11">E21+E23</f>
        <v>238270.13048166668</v>
      </c>
      <c r="F24" s="7">
        <f t="shared" si="11"/>
        <v>237804.58452166666</v>
      </c>
      <c r="G24" s="7">
        <f t="shared" si="11"/>
        <v>237339.03856166668</v>
      </c>
      <c r="H24" s="7">
        <f t="shared" si="11"/>
        <v>236873.49260166666</v>
      </c>
      <c r="I24" s="7">
        <f t="shared" si="11"/>
        <v>236407.94664166667</v>
      </c>
      <c r="J24" s="7">
        <f t="shared" si="11"/>
        <v>235942.40068166668</v>
      </c>
      <c r="K24" s="7">
        <f t="shared" si="11"/>
        <v>235476.85472166666</v>
      </c>
      <c r="L24" s="7">
        <f t="shared" si="11"/>
        <v>235011.30876166667</v>
      </c>
      <c r="M24" s="7">
        <f t="shared" si="11"/>
        <v>234545.76280166669</v>
      </c>
      <c r="N24" s="7">
        <f t="shared" si="11"/>
        <v>234080.21684166667</v>
      </c>
      <c r="O24" s="7">
        <f t="shared" si="11"/>
        <v>233614.67088166668</v>
      </c>
      <c r="P24" s="7">
        <f>P21+P23</f>
        <v>233614.67088166668</v>
      </c>
    </row>
    <row r="25" spans="1:16" ht="16.5" thickTop="1" thickBot="1" x14ac:dyDescent="0.3">
      <c r="B25" s="30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ht="16.5" thickTop="1" thickBot="1" x14ac:dyDescent="0.3">
      <c r="B26" s="30" t="s">
        <v>43</v>
      </c>
      <c r="C26" s="5"/>
      <c r="D26" s="31">
        <f>ROUND((+C24+D24)/2,0)</f>
        <v>238968</v>
      </c>
      <c r="E26" s="31">
        <f t="shared" ref="E26:O26" si="12">ROUND((+D24+E24)/2,0)</f>
        <v>238503</v>
      </c>
      <c r="F26" s="31">
        <f t="shared" si="12"/>
        <v>238037</v>
      </c>
      <c r="G26" s="31">
        <f t="shared" si="12"/>
        <v>237572</v>
      </c>
      <c r="H26" s="31">
        <f t="shared" si="12"/>
        <v>237106</v>
      </c>
      <c r="I26" s="31">
        <f t="shared" si="12"/>
        <v>236641</v>
      </c>
      <c r="J26" s="31">
        <f t="shared" si="12"/>
        <v>236175</v>
      </c>
      <c r="K26" s="31">
        <f t="shared" si="12"/>
        <v>235710</v>
      </c>
      <c r="L26" s="31">
        <f t="shared" si="12"/>
        <v>235244</v>
      </c>
      <c r="M26" s="31">
        <f t="shared" si="12"/>
        <v>234779</v>
      </c>
      <c r="N26" s="31">
        <f t="shared" si="12"/>
        <v>234313</v>
      </c>
      <c r="O26" s="31">
        <f t="shared" si="12"/>
        <v>233847</v>
      </c>
      <c r="P26" s="5"/>
    </row>
    <row r="27" spans="1:16" ht="15.75" thickTop="1" x14ac:dyDescent="0.25">
      <c r="B27" s="30"/>
      <c r="C27" s="30"/>
      <c r="D27" s="32"/>
      <c r="E27" s="32"/>
      <c r="F27" s="32"/>
      <c r="G27" s="32"/>
      <c r="H27" s="32"/>
      <c r="I27" s="30"/>
    </row>
    <row r="28" spans="1:16" x14ac:dyDescent="0.25">
      <c r="A28" s="11" t="s">
        <v>44</v>
      </c>
      <c r="D28" s="32"/>
      <c r="E28" s="32"/>
      <c r="F28" s="32"/>
      <c r="G28" s="32"/>
      <c r="H28" s="32"/>
    </row>
    <row r="29" spans="1:16" x14ac:dyDescent="0.25">
      <c r="B29" s="11" t="s">
        <v>45</v>
      </c>
      <c r="D29" s="13">
        <v>2.1000000000000001E-2</v>
      </c>
      <c r="E29" s="13">
        <f>D29</f>
        <v>2.1000000000000001E-2</v>
      </c>
      <c r="F29" s="13">
        <f t="shared" ref="F29:O30" si="13">E29</f>
        <v>2.1000000000000001E-2</v>
      </c>
      <c r="G29" s="13">
        <f t="shared" si="13"/>
        <v>2.1000000000000001E-2</v>
      </c>
      <c r="H29" s="13">
        <f t="shared" si="13"/>
        <v>2.1000000000000001E-2</v>
      </c>
      <c r="I29" s="13">
        <f t="shared" si="13"/>
        <v>2.1000000000000001E-2</v>
      </c>
      <c r="J29" s="13">
        <f t="shared" si="13"/>
        <v>2.1000000000000001E-2</v>
      </c>
      <c r="K29" s="13">
        <f t="shared" si="13"/>
        <v>2.1000000000000001E-2</v>
      </c>
      <c r="L29" s="13">
        <f t="shared" si="13"/>
        <v>2.1000000000000001E-2</v>
      </c>
      <c r="M29" s="13">
        <f t="shared" si="13"/>
        <v>2.1000000000000001E-2</v>
      </c>
      <c r="N29" s="13">
        <f t="shared" si="13"/>
        <v>2.1000000000000001E-2</v>
      </c>
      <c r="O29" s="13">
        <f t="shared" si="13"/>
        <v>2.1000000000000001E-2</v>
      </c>
    </row>
    <row r="30" spans="1:16" x14ac:dyDescent="0.25">
      <c r="B30" s="11" t="s">
        <v>46</v>
      </c>
      <c r="D30" s="13">
        <v>2.1999999999999999E-2</v>
      </c>
      <c r="E30" s="13">
        <f>D30</f>
        <v>2.1999999999999999E-2</v>
      </c>
      <c r="F30" s="13">
        <f t="shared" si="13"/>
        <v>2.1999999999999999E-2</v>
      </c>
      <c r="G30" s="13">
        <f t="shared" si="13"/>
        <v>2.1999999999999999E-2</v>
      </c>
      <c r="H30" s="13">
        <f t="shared" si="13"/>
        <v>2.1999999999999999E-2</v>
      </c>
      <c r="I30" s="13">
        <f t="shared" si="13"/>
        <v>2.1999999999999999E-2</v>
      </c>
      <c r="J30" s="13">
        <f t="shared" si="13"/>
        <v>2.1999999999999999E-2</v>
      </c>
      <c r="K30" s="13">
        <f t="shared" si="13"/>
        <v>2.1999999999999999E-2</v>
      </c>
      <c r="L30" s="13">
        <f t="shared" si="13"/>
        <v>2.1999999999999999E-2</v>
      </c>
      <c r="M30" s="13">
        <f t="shared" si="13"/>
        <v>2.1999999999999999E-2</v>
      </c>
      <c r="N30" s="13">
        <f t="shared" si="13"/>
        <v>2.1999999999999999E-2</v>
      </c>
      <c r="O30" s="13">
        <f t="shared" si="13"/>
        <v>2.1999999999999999E-2</v>
      </c>
    </row>
    <row r="31" spans="1:16" x14ac:dyDescent="0.25"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</row>
    <row r="32" spans="1:16" x14ac:dyDescent="0.25">
      <c r="A32" s="11" t="s">
        <v>47</v>
      </c>
      <c r="D32" s="17"/>
    </row>
    <row r="33" spans="1:16" x14ac:dyDescent="0.25">
      <c r="B33" s="11" t="s">
        <v>48</v>
      </c>
      <c r="D33" s="33">
        <v>0.05</v>
      </c>
      <c r="E33" s="34">
        <f>D33</f>
        <v>0.05</v>
      </c>
      <c r="F33" s="34">
        <f t="shared" ref="F33:O34" si="14">E33</f>
        <v>0.05</v>
      </c>
      <c r="G33" s="34">
        <f t="shared" si="14"/>
        <v>0.05</v>
      </c>
      <c r="H33" s="34">
        <f t="shared" si="14"/>
        <v>0.05</v>
      </c>
      <c r="I33" s="34">
        <f t="shared" si="14"/>
        <v>0.05</v>
      </c>
      <c r="J33" s="34">
        <f t="shared" si="14"/>
        <v>0.05</v>
      </c>
      <c r="K33" s="34">
        <f t="shared" si="14"/>
        <v>0.05</v>
      </c>
      <c r="L33" s="34">
        <f t="shared" si="14"/>
        <v>0.05</v>
      </c>
      <c r="M33" s="34">
        <f t="shared" si="14"/>
        <v>0.05</v>
      </c>
      <c r="N33" s="34">
        <f t="shared" si="14"/>
        <v>0.05</v>
      </c>
      <c r="O33" s="34">
        <f t="shared" si="14"/>
        <v>0.05</v>
      </c>
    </row>
    <row r="34" spans="1:16" x14ac:dyDescent="0.25">
      <c r="B34" s="11" t="s">
        <v>49</v>
      </c>
      <c r="D34" s="33">
        <v>1.3899999999999999E-2</v>
      </c>
      <c r="E34" s="34">
        <f>D34</f>
        <v>1.3899999999999999E-2</v>
      </c>
      <c r="F34" s="34">
        <f t="shared" si="14"/>
        <v>1.3899999999999999E-2</v>
      </c>
      <c r="G34" s="34">
        <f t="shared" si="14"/>
        <v>1.3899999999999999E-2</v>
      </c>
      <c r="H34" s="34">
        <f t="shared" si="14"/>
        <v>1.3899999999999999E-2</v>
      </c>
      <c r="I34" s="34">
        <f t="shared" si="14"/>
        <v>1.3899999999999999E-2</v>
      </c>
      <c r="J34" s="34">
        <f t="shared" si="14"/>
        <v>1.3899999999999999E-2</v>
      </c>
      <c r="K34" s="34">
        <f t="shared" si="14"/>
        <v>1.3899999999999999E-2</v>
      </c>
      <c r="L34" s="34">
        <f t="shared" si="14"/>
        <v>1.3899999999999999E-2</v>
      </c>
      <c r="M34" s="34">
        <f t="shared" si="14"/>
        <v>1.3899999999999999E-2</v>
      </c>
      <c r="N34" s="34">
        <f t="shared" si="14"/>
        <v>1.3899999999999999E-2</v>
      </c>
      <c r="O34" s="34">
        <f t="shared" si="14"/>
        <v>1.3899999999999999E-2</v>
      </c>
    </row>
    <row r="35" spans="1:16" x14ac:dyDescent="0.25">
      <c r="D35" s="17"/>
    </row>
    <row r="36" spans="1:16" x14ac:dyDescent="0.25">
      <c r="B36" s="11" t="s">
        <v>50</v>
      </c>
      <c r="D36" s="5">
        <f>D26*D33/12</f>
        <v>995.70000000000016</v>
      </c>
      <c r="E36" s="5">
        <f t="shared" ref="E36:O36" si="15">E26*E33/12</f>
        <v>993.76250000000016</v>
      </c>
      <c r="F36" s="5">
        <f>F26*F33/12</f>
        <v>991.82083333333333</v>
      </c>
      <c r="G36" s="5">
        <f t="shared" si="15"/>
        <v>989.88333333333333</v>
      </c>
      <c r="H36" s="5">
        <f>H26*H33/12</f>
        <v>987.94166666666672</v>
      </c>
      <c r="I36" s="5">
        <f t="shared" si="15"/>
        <v>986.00416666666672</v>
      </c>
      <c r="J36" s="5">
        <f t="shared" si="15"/>
        <v>984.0625</v>
      </c>
      <c r="K36" s="5">
        <f t="shared" si="15"/>
        <v>982.125</v>
      </c>
      <c r="L36" s="5">
        <f t="shared" si="15"/>
        <v>980.18333333333339</v>
      </c>
      <c r="M36" s="5">
        <f t="shared" si="15"/>
        <v>978.24583333333339</v>
      </c>
      <c r="N36" s="5">
        <f>N26*N33/12</f>
        <v>976.30416666666679</v>
      </c>
      <c r="O36" s="5">
        <f t="shared" si="15"/>
        <v>974.36250000000007</v>
      </c>
      <c r="P36" s="2">
        <f>SUM(D36:O36)</f>
        <v>11820.395833333334</v>
      </c>
    </row>
    <row r="37" spans="1:16" x14ac:dyDescent="0.25">
      <c r="B37" s="11" t="s">
        <v>51</v>
      </c>
      <c r="D37" s="27">
        <f t="shared" ref="D37:O37" si="16">D26*D34/12</f>
        <v>276.80459999999999</v>
      </c>
      <c r="E37" s="27">
        <f t="shared" si="16"/>
        <v>276.26597499999997</v>
      </c>
      <c r="F37" s="27">
        <f t="shared" si="16"/>
        <v>275.72619166666664</v>
      </c>
      <c r="G37" s="27">
        <f t="shared" si="16"/>
        <v>275.18756666666667</v>
      </c>
      <c r="H37" s="27">
        <f t="shared" si="16"/>
        <v>274.64778333333328</v>
      </c>
      <c r="I37" s="27">
        <f t="shared" si="16"/>
        <v>274.10915833333331</v>
      </c>
      <c r="J37" s="27">
        <f t="shared" si="16"/>
        <v>273.56937499999998</v>
      </c>
      <c r="K37" s="27">
        <f t="shared" si="16"/>
        <v>273.03074999999995</v>
      </c>
      <c r="L37" s="27">
        <f t="shared" si="16"/>
        <v>272.49096666666668</v>
      </c>
      <c r="M37" s="27">
        <f t="shared" si="16"/>
        <v>271.95234166666665</v>
      </c>
      <c r="N37" s="27">
        <f t="shared" si="16"/>
        <v>271.41255833333332</v>
      </c>
      <c r="O37" s="27">
        <f t="shared" si="16"/>
        <v>270.87277499999999</v>
      </c>
      <c r="P37" s="27">
        <f>SUM(D37:O37)</f>
        <v>3286.0700416666664</v>
      </c>
    </row>
    <row r="38" spans="1:16" ht="15.75" thickBot="1" x14ac:dyDescent="0.3">
      <c r="B38" s="11" t="s">
        <v>52</v>
      </c>
      <c r="D38" s="28">
        <f>SUM(D36:D37)</f>
        <v>1272.5046000000002</v>
      </c>
      <c r="E38" s="28">
        <f t="shared" ref="E38:O38" si="17">SUM(E36:E37)</f>
        <v>1270.0284750000001</v>
      </c>
      <c r="F38" s="28">
        <f t="shared" si="17"/>
        <v>1267.5470249999998</v>
      </c>
      <c r="G38" s="28">
        <f t="shared" si="17"/>
        <v>1265.0708999999999</v>
      </c>
      <c r="H38" s="28">
        <f t="shared" si="17"/>
        <v>1262.5894499999999</v>
      </c>
      <c r="I38" s="28">
        <f t="shared" si="17"/>
        <v>1260.113325</v>
      </c>
      <c r="J38" s="28">
        <f t="shared" si="17"/>
        <v>1257.631875</v>
      </c>
      <c r="K38" s="28">
        <f t="shared" si="17"/>
        <v>1255.1557499999999</v>
      </c>
      <c r="L38" s="28">
        <f t="shared" si="17"/>
        <v>1252.6743000000001</v>
      </c>
      <c r="M38" s="28">
        <f t="shared" si="17"/>
        <v>1250.198175</v>
      </c>
      <c r="N38" s="28">
        <f t="shared" si="17"/>
        <v>1247.7167250000002</v>
      </c>
      <c r="O38" s="28">
        <f t="shared" si="17"/>
        <v>1245.235275</v>
      </c>
      <c r="P38" s="7">
        <f>SUM(P36:P37)</f>
        <v>15106.465875</v>
      </c>
    </row>
    <row r="39" spans="1:16" ht="15.75" thickTop="1" x14ac:dyDescent="0.25">
      <c r="D39" s="13"/>
    </row>
    <row r="40" spans="1:16" x14ac:dyDescent="0.25">
      <c r="A40" s="11" t="s">
        <v>53</v>
      </c>
      <c r="D40" s="13"/>
    </row>
    <row r="41" spans="1:16" x14ac:dyDescent="0.25">
      <c r="B41" s="11" t="s">
        <v>54</v>
      </c>
      <c r="D41" s="5">
        <f>SUM(C19*(D29/12))</f>
        <v>0</v>
      </c>
      <c r="E41" s="5">
        <f t="shared" ref="E41:O42" si="18">SUM(D19*(E29/12))</f>
        <v>0</v>
      </c>
      <c r="F41" s="5">
        <f t="shared" si="18"/>
        <v>0</v>
      </c>
      <c r="G41" s="5">
        <f t="shared" si="18"/>
        <v>0</v>
      </c>
      <c r="H41" s="5">
        <f t="shared" si="18"/>
        <v>0</v>
      </c>
      <c r="I41" s="5">
        <f t="shared" si="18"/>
        <v>0</v>
      </c>
      <c r="J41" s="5">
        <f t="shared" si="18"/>
        <v>0</v>
      </c>
      <c r="K41" s="5">
        <f t="shared" si="18"/>
        <v>0</v>
      </c>
      <c r="L41" s="5">
        <f t="shared" si="18"/>
        <v>0</v>
      </c>
      <c r="M41" s="5">
        <f t="shared" si="18"/>
        <v>0</v>
      </c>
      <c r="N41" s="5">
        <f t="shared" si="18"/>
        <v>0</v>
      </c>
      <c r="O41" s="5">
        <f>SUM(N19*(O29/12))</f>
        <v>0</v>
      </c>
      <c r="P41" s="2">
        <f>SUM(D41:O41)</f>
        <v>0</v>
      </c>
    </row>
    <row r="42" spans="1:16" x14ac:dyDescent="0.25">
      <c r="B42" s="11" t="s">
        <v>55</v>
      </c>
      <c r="D42" s="6">
        <f>SUM(C20*(D30/12))</f>
        <v>465.54595999999998</v>
      </c>
      <c r="E42" s="6">
        <f t="shared" si="18"/>
        <v>465.54595999999998</v>
      </c>
      <c r="F42" s="6">
        <f t="shared" si="18"/>
        <v>465.54595999999998</v>
      </c>
      <c r="G42" s="6">
        <f t="shared" si="18"/>
        <v>465.54595999999998</v>
      </c>
      <c r="H42" s="6">
        <f t="shared" si="18"/>
        <v>465.54595999999998</v>
      </c>
      <c r="I42" s="6">
        <f t="shared" si="18"/>
        <v>465.54595999999998</v>
      </c>
      <c r="J42" s="6">
        <f t="shared" si="18"/>
        <v>465.54595999999998</v>
      </c>
      <c r="K42" s="6">
        <f t="shared" si="18"/>
        <v>465.54595999999998</v>
      </c>
      <c r="L42" s="6">
        <f t="shared" si="18"/>
        <v>465.54595999999998</v>
      </c>
      <c r="M42" s="6">
        <f t="shared" si="18"/>
        <v>465.54595999999998</v>
      </c>
      <c r="N42" s="6">
        <f>SUM(M20*(N30/12))</f>
        <v>465.54595999999998</v>
      </c>
      <c r="O42" s="6">
        <f t="shared" si="18"/>
        <v>465.54595999999998</v>
      </c>
      <c r="P42" s="5">
        <f>SUM(D42:O42)</f>
        <v>5586.5515200000009</v>
      </c>
    </row>
    <row r="43" spans="1:16" x14ac:dyDescent="0.25">
      <c r="B43" s="11" t="s">
        <v>56</v>
      </c>
      <c r="C43" s="13">
        <v>0.02</v>
      </c>
      <c r="D43" s="5">
        <f>$C24*($C43/12)</f>
        <v>398.66870400277782</v>
      </c>
      <c r="E43" s="5">
        <f t="shared" ref="E43:O43" si="19">$C24*($C43/12)</f>
        <v>398.66870400277782</v>
      </c>
      <c r="F43" s="5">
        <f>$C24*($C43/12)</f>
        <v>398.66870400277782</v>
      </c>
      <c r="G43" s="5">
        <f t="shared" si="19"/>
        <v>398.66870400277782</v>
      </c>
      <c r="H43" s="5">
        <f t="shared" si="19"/>
        <v>398.66870400277782</v>
      </c>
      <c r="I43" s="5">
        <f t="shared" si="19"/>
        <v>398.66870400277782</v>
      </c>
      <c r="J43" s="5">
        <f t="shared" si="19"/>
        <v>398.66870400277782</v>
      </c>
      <c r="K43" s="5">
        <f t="shared" si="19"/>
        <v>398.66870400277782</v>
      </c>
      <c r="L43" s="5">
        <f t="shared" si="19"/>
        <v>398.66870400277782</v>
      </c>
      <c r="M43" s="5">
        <f t="shared" si="19"/>
        <v>398.66870400277782</v>
      </c>
      <c r="N43" s="5">
        <f t="shared" si="19"/>
        <v>398.66870400277782</v>
      </c>
      <c r="O43" s="5">
        <f t="shared" si="19"/>
        <v>398.66870400277782</v>
      </c>
      <c r="P43" s="2">
        <f>SUM(D43:O43)</f>
        <v>4784.024448033334</v>
      </c>
    </row>
    <row r="44" spans="1:16" x14ac:dyDescent="0.25">
      <c r="B44" s="11" t="s">
        <v>57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35">
        <v>0</v>
      </c>
      <c r="P44" s="2">
        <f>SUM(D44:O44)</f>
        <v>0</v>
      </c>
    </row>
    <row r="45" spans="1:16" x14ac:dyDescent="0.25">
      <c r="B45" s="11" t="s">
        <v>58</v>
      </c>
      <c r="D45" s="35">
        <v>0</v>
      </c>
      <c r="E45" s="35">
        <v>0</v>
      </c>
      <c r="F45" s="35">
        <v>0</v>
      </c>
      <c r="G45" s="36">
        <v>0</v>
      </c>
      <c r="H45" s="36">
        <v>0</v>
      </c>
      <c r="I45" s="36">
        <v>0</v>
      </c>
      <c r="J45" s="36">
        <v>0</v>
      </c>
      <c r="K45" s="36">
        <v>0</v>
      </c>
      <c r="L45" s="37">
        <v>0</v>
      </c>
      <c r="M45" s="37">
        <v>0</v>
      </c>
      <c r="N45" s="36">
        <v>0</v>
      </c>
      <c r="O45" s="36">
        <v>0</v>
      </c>
      <c r="P45" s="27">
        <f>SUM(D45:O45)</f>
        <v>0</v>
      </c>
    </row>
    <row r="46" spans="1:16" ht="15.75" thickBot="1" x14ac:dyDescent="0.3">
      <c r="B46" s="11" t="s">
        <v>59</v>
      </c>
      <c r="D46" s="7">
        <f>SUM(D41:D45)</f>
        <v>864.21466400277779</v>
      </c>
      <c r="E46" s="7">
        <f t="shared" ref="E46:O46" si="20">SUM(E41:E45)</f>
        <v>864.21466400277779</v>
      </c>
      <c r="F46" s="7">
        <f t="shared" si="20"/>
        <v>864.21466400277779</v>
      </c>
      <c r="G46" s="7">
        <f t="shared" si="20"/>
        <v>864.21466400277779</v>
      </c>
      <c r="H46" s="7">
        <f t="shared" si="20"/>
        <v>864.21466400277779</v>
      </c>
      <c r="I46" s="7">
        <f t="shared" si="20"/>
        <v>864.21466400277779</v>
      </c>
      <c r="J46" s="7">
        <f t="shared" si="20"/>
        <v>864.21466400277779</v>
      </c>
      <c r="K46" s="7">
        <f t="shared" si="20"/>
        <v>864.21466400277779</v>
      </c>
      <c r="L46" s="7">
        <f t="shared" si="20"/>
        <v>864.21466400277779</v>
      </c>
      <c r="M46" s="7">
        <f t="shared" si="20"/>
        <v>864.21466400277779</v>
      </c>
      <c r="N46" s="7">
        <f t="shared" si="20"/>
        <v>864.21466400277779</v>
      </c>
      <c r="O46" s="7">
        <f t="shared" si="20"/>
        <v>864.21466400277779</v>
      </c>
      <c r="P46" s="28">
        <f>SUM(P41:P45)</f>
        <v>10370.575968033336</v>
      </c>
    </row>
    <row r="47" spans="1:16" ht="15.75" thickTop="1" x14ac:dyDescent="0.25">
      <c r="D47" s="38"/>
    </row>
    <row r="48" spans="1:16" ht="15.75" thickBot="1" x14ac:dyDescent="0.3">
      <c r="A48" s="11" t="s">
        <v>60</v>
      </c>
      <c r="D48" s="28">
        <f>D38+D46</f>
        <v>2136.7192640027779</v>
      </c>
      <c r="E48" s="28">
        <f t="shared" ref="E48:P48" si="21">E38+E46</f>
        <v>2134.2431390027778</v>
      </c>
      <c r="F48" s="28">
        <f t="shared" si="21"/>
        <v>2131.7616890027775</v>
      </c>
      <c r="G48" s="28">
        <f t="shared" si="21"/>
        <v>2129.2855640027778</v>
      </c>
      <c r="H48" s="28">
        <f>H38+H46</f>
        <v>2126.8041140027776</v>
      </c>
      <c r="I48" s="28">
        <f t="shared" si="21"/>
        <v>2124.3279890027779</v>
      </c>
      <c r="J48" s="28">
        <f t="shared" si="21"/>
        <v>2121.8465390027777</v>
      </c>
      <c r="K48" s="28">
        <f t="shared" si="21"/>
        <v>2119.3704140027776</v>
      </c>
      <c r="L48" s="28">
        <f t="shared" si="21"/>
        <v>2116.8889640027778</v>
      </c>
      <c r="M48" s="28">
        <f t="shared" si="21"/>
        <v>2114.4128390027777</v>
      </c>
      <c r="N48" s="28">
        <f t="shared" si="21"/>
        <v>2111.9313890027779</v>
      </c>
      <c r="O48" s="28">
        <f t="shared" si="21"/>
        <v>2109.4499390027777</v>
      </c>
      <c r="P48" s="28">
        <f t="shared" si="21"/>
        <v>25477.041843033337</v>
      </c>
    </row>
    <row r="49" spans="1:16" ht="15.75" thickTop="1" x14ac:dyDescent="0.25">
      <c r="D49" s="38"/>
    </row>
    <row r="50" spans="1:16" ht="15" hidden="1" customHeight="1" x14ac:dyDescent="0.25">
      <c r="D50" s="38"/>
    </row>
    <row r="51" spans="1:16" ht="15" hidden="1" customHeight="1" x14ac:dyDescent="0.25">
      <c r="D51" s="38"/>
    </row>
    <row r="52" spans="1:16" ht="15" hidden="1" customHeight="1" x14ac:dyDescent="0.25">
      <c r="D52" s="38"/>
    </row>
    <row r="53" spans="1:16" x14ac:dyDescent="0.25">
      <c r="A53" s="11" t="s">
        <v>61</v>
      </c>
      <c r="D53" s="39">
        <v>4109.29</v>
      </c>
      <c r="E53" s="40">
        <v>4182.5200000000004</v>
      </c>
      <c r="F53" s="40">
        <v>3782.45</v>
      </c>
      <c r="G53" s="40">
        <v>2850.1</v>
      </c>
      <c r="H53" s="40">
        <v>1736.49</v>
      </c>
      <c r="I53" s="40">
        <v>1672.95</v>
      </c>
      <c r="J53" s="40">
        <v>1774.99</v>
      </c>
      <c r="K53" s="40">
        <v>1499.47</v>
      </c>
      <c r="L53" s="40">
        <v>1721.44</v>
      </c>
      <c r="M53" s="40">
        <v>2044.03</v>
      </c>
      <c r="N53" s="40">
        <v>2727.92</v>
      </c>
      <c r="O53" s="40">
        <v>3962.67</v>
      </c>
      <c r="P53" s="2">
        <f>SUM(D53:O53)</f>
        <v>32064.32</v>
      </c>
    </row>
    <row r="54" spans="1:16" x14ac:dyDescent="0.25">
      <c r="A54" s="11" t="s">
        <v>62</v>
      </c>
      <c r="D54" s="41">
        <v>1.0050300000000001</v>
      </c>
      <c r="E54" s="41">
        <v>1.0050300000000001</v>
      </c>
      <c r="F54" s="41">
        <v>1.0050300000000001</v>
      </c>
      <c r="G54" s="41">
        <v>1.0050300000000001</v>
      </c>
      <c r="H54" s="41">
        <v>1.0050300000000001</v>
      </c>
      <c r="I54" s="41">
        <v>1.0050300000000001</v>
      </c>
      <c r="J54" s="41">
        <v>1.0050300000000001</v>
      </c>
      <c r="K54" s="41">
        <v>1.0050300000000001</v>
      </c>
      <c r="L54" s="41">
        <v>1.0050300000000001</v>
      </c>
      <c r="M54" s="41">
        <v>1.0050300000000001</v>
      </c>
      <c r="N54" s="41">
        <v>1.0050300000000001</v>
      </c>
      <c r="O54" s="41">
        <v>1.0050300000000001</v>
      </c>
      <c r="P54" s="42">
        <v>1.0050300000000001</v>
      </c>
    </row>
    <row r="55" spans="1:16" ht="15.75" thickBot="1" x14ac:dyDescent="0.3">
      <c r="A55" s="11" t="s">
        <v>63</v>
      </c>
      <c r="C55" s="17"/>
      <c r="D55" s="43">
        <f>D53/D54</f>
        <v>4088.7237196899591</v>
      </c>
      <c r="E55" s="43">
        <f t="shared" ref="E55:O55" si="22">E53/E54</f>
        <v>4161.5872163020013</v>
      </c>
      <c r="F55" s="43">
        <f t="shared" si="22"/>
        <v>3763.5194969304393</v>
      </c>
      <c r="G55" s="43">
        <f t="shared" si="22"/>
        <v>2835.8357461966307</v>
      </c>
      <c r="H55" s="43">
        <f t="shared" si="22"/>
        <v>1727.7991701740245</v>
      </c>
      <c r="I55" s="43">
        <f t="shared" si="22"/>
        <v>1664.5771768006923</v>
      </c>
      <c r="J55" s="43">
        <f t="shared" si="22"/>
        <v>1766.1064843835507</v>
      </c>
      <c r="K55" s="43">
        <f>K53/K54</f>
        <v>1491.9654139677421</v>
      </c>
      <c r="L55" s="43">
        <f t="shared" si="22"/>
        <v>1712.8244928012098</v>
      </c>
      <c r="M55" s="43">
        <f t="shared" si="22"/>
        <v>2033.7999860700675</v>
      </c>
      <c r="N55" s="43">
        <f t="shared" si="22"/>
        <v>2714.2672358039063</v>
      </c>
      <c r="O55" s="43">
        <f t="shared" si="22"/>
        <v>3942.8375272379926</v>
      </c>
      <c r="P55" s="43"/>
    </row>
    <row r="56" spans="1:16" ht="15.75" thickTop="1" x14ac:dyDescent="0.25">
      <c r="C56" s="17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</row>
    <row r="57" spans="1:16" x14ac:dyDescent="0.25">
      <c r="A57" s="11" t="s">
        <v>64</v>
      </c>
      <c r="C57" s="40">
        <v>-1824</v>
      </c>
      <c r="D57" s="14">
        <f>IF(D55=0,0,ROUND(D48-D55,0))</f>
        <v>-1952</v>
      </c>
      <c r="E57" s="14">
        <f t="shared" ref="E57:O57" si="23">IF(E55=0,0,ROUND(E48-E55,0))</f>
        <v>-2027</v>
      </c>
      <c r="F57" s="14">
        <f t="shared" si="23"/>
        <v>-1632</v>
      </c>
      <c r="G57" s="14">
        <f t="shared" si="23"/>
        <v>-707</v>
      </c>
      <c r="H57" s="14">
        <f>IF(H55=0,0,ROUND(H48-H55,0))</f>
        <v>399</v>
      </c>
      <c r="I57" s="14">
        <f t="shared" si="23"/>
        <v>460</v>
      </c>
      <c r="J57" s="14">
        <f t="shared" si="23"/>
        <v>356</v>
      </c>
      <c r="K57" s="14">
        <f t="shared" si="23"/>
        <v>627</v>
      </c>
      <c r="L57" s="14">
        <f t="shared" si="23"/>
        <v>404</v>
      </c>
      <c r="M57" s="14">
        <f t="shared" si="23"/>
        <v>81</v>
      </c>
      <c r="N57" s="14">
        <f t="shared" si="23"/>
        <v>-602</v>
      </c>
      <c r="O57" s="14">
        <f t="shared" si="23"/>
        <v>-1833</v>
      </c>
      <c r="P57" s="44">
        <f>SUM(C57:O57)</f>
        <v>-8250</v>
      </c>
    </row>
    <row r="58" spans="1:16" x14ac:dyDescent="0.25">
      <c r="A58" s="11" t="s">
        <v>65</v>
      </c>
      <c r="C58" s="40">
        <v>-152</v>
      </c>
      <c r="D58" s="14">
        <f>IF(D57=0,0,ROUND((((+C59+D57)+C59)/2)*D66,0))</f>
        <v>-4</v>
      </c>
      <c r="E58" s="14">
        <f>IF(E57=0,0,ROUND((((+D59+E57)+D59)/2)*E66,0))</f>
        <v>-6</v>
      </c>
      <c r="F58" s="14">
        <f t="shared" ref="F58:O58" si="24">IF(F57=0,0,ROUND((((+E59+F57)+E59)/2)*F66,0))</f>
        <v>-10</v>
      </c>
      <c r="G58" s="14">
        <f t="shared" si="24"/>
        <v>-7</v>
      </c>
      <c r="H58" s="14">
        <f>IF(H57=0,0,ROUND((((+G59+H57)+G59)/2)*H66,0))</f>
        <v>-1</v>
      </c>
      <c r="I58" s="14">
        <f t="shared" si="24"/>
        <v>-1</v>
      </c>
      <c r="J58" s="14">
        <f t="shared" si="24"/>
        <v>-1</v>
      </c>
      <c r="K58" s="14">
        <f t="shared" si="24"/>
        <v>-1</v>
      </c>
      <c r="L58" s="14">
        <f t="shared" si="24"/>
        <v>0</v>
      </c>
      <c r="M58" s="14">
        <f t="shared" si="24"/>
        <v>0</v>
      </c>
      <c r="N58" s="14">
        <f>IF(N57=0,0,ROUND((((+M59+N57)+M59)/2)*N66,0))</f>
        <v>-1</v>
      </c>
      <c r="O58" s="14">
        <f t="shared" si="24"/>
        <v>-1</v>
      </c>
      <c r="P58" s="44">
        <f>SUM(C58:O58)</f>
        <v>-185</v>
      </c>
    </row>
    <row r="59" spans="1:16" ht="15.75" thickBot="1" x14ac:dyDescent="0.3">
      <c r="A59" s="11" t="s">
        <v>66</v>
      </c>
      <c r="C59" s="8">
        <f>SUM(C57:C58)</f>
        <v>-1976</v>
      </c>
      <c r="D59" s="8">
        <f>IF(D57=0,0,C59+D57+D58)</f>
        <v>-3932</v>
      </c>
      <c r="E59" s="8">
        <f>IF(E57=0,0,D59+E57+E58)</f>
        <v>-5965</v>
      </c>
      <c r="F59" s="8">
        <f>IF(F57=0,0,E59+F57+F58)</f>
        <v>-7607</v>
      </c>
      <c r="G59" s="8">
        <f t="shared" ref="G59:N59" si="25">IF(G57=0,0,F59+G57+G58)</f>
        <v>-8321</v>
      </c>
      <c r="H59" s="8">
        <f t="shared" si="25"/>
        <v>-7923</v>
      </c>
      <c r="I59" s="8">
        <f t="shared" si="25"/>
        <v>-7464</v>
      </c>
      <c r="J59" s="8">
        <f t="shared" si="25"/>
        <v>-7109</v>
      </c>
      <c r="K59" s="8">
        <f>IF(K57=0,0,J59+K57+K58)</f>
        <v>-6483</v>
      </c>
      <c r="L59" s="8">
        <f t="shared" si="25"/>
        <v>-6079</v>
      </c>
      <c r="M59" s="8">
        <f t="shared" si="25"/>
        <v>-5998</v>
      </c>
      <c r="N59" s="8">
        <f t="shared" si="25"/>
        <v>-6601</v>
      </c>
      <c r="O59" s="8">
        <f>IF(O57=0,0,N59+O57+O58)</f>
        <v>-8435</v>
      </c>
      <c r="P59" s="8">
        <f>+O59</f>
        <v>-8435</v>
      </c>
    </row>
    <row r="60" spans="1:16" ht="15.75" thickTop="1" x14ac:dyDescent="0.25">
      <c r="A60" s="11" t="s">
        <v>67</v>
      </c>
      <c r="C60" s="9"/>
      <c r="D60" s="9">
        <f>-2118-2101+1</f>
        <v>-4218</v>
      </c>
      <c r="E60" s="9">
        <v>-6397</v>
      </c>
      <c r="F60" s="9">
        <v>-8184</v>
      </c>
      <c r="G60" s="9">
        <v>-8463</v>
      </c>
      <c r="H60" s="9">
        <v>-8065</v>
      </c>
      <c r="I60" s="9">
        <v>-7606</v>
      </c>
      <c r="J60" s="9">
        <v>-7251</v>
      </c>
      <c r="K60" s="9">
        <v>-6625</v>
      </c>
      <c r="L60" s="9">
        <v>-6221</v>
      </c>
      <c r="M60" s="9">
        <v>-6140</v>
      </c>
      <c r="N60" s="9">
        <v>-6743</v>
      </c>
      <c r="O60" s="9">
        <v>-8435</v>
      </c>
      <c r="P60" s="14"/>
    </row>
    <row r="61" spans="1:16" x14ac:dyDescent="0.25">
      <c r="A61" s="11" t="s">
        <v>68</v>
      </c>
      <c r="C61" s="10">
        <v>6191</v>
      </c>
      <c r="D61" s="10">
        <f>IF(D59=0,0,D60-D59)</f>
        <v>-286</v>
      </c>
      <c r="E61" s="10">
        <f>IF(E59=0,0,E60-E59)</f>
        <v>-432</v>
      </c>
      <c r="F61" s="10">
        <f t="shared" ref="F61:L61" si="26">IF(F59=0,0,F60-F59)</f>
        <v>-577</v>
      </c>
      <c r="G61" s="10">
        <f t="shared" si="26"/>
        <v>-142</v>
      </c>
      <c r="H61" s="10">
        <f>IF(H59=0,0,H60-H59)</f>
        <v>-142</v>
      </c>
      <c r="I61" s="10">
        <f t="shared" si="26"/>
        <v>-142</v>
      </c>
      <c r="J61" s="10">
        <f>IF(J59=0,0,J60-J59)</f>
        <v>-142</v>
      </c>
      <c r="K61" s="10">
        <f>IF(K59=0,0,K60-K59)</f>
        <v>-142</v>
      </c>
      <c r="L61" s="10">
        <f t="shared" si="26"/>
        <v>-142</v>
      </c>
      <c r="M61" s="10">
        <f>IF(M59=0,0,M60-M59)</f>
        <v>-142</v>
      </c>
      <c r="N61" s="10">
        <f>IF(N59=0,0,N60-N59)</f>
        <v>-142</v>
      </c>
      <c r="O61" s="10">
        <f>IF(O59=0,0,O60-O59)</f>
        <v>0</v>
      </c>
      <c r="P61" s="14"/>
    </row>
    <row r="62" spans="1:16" x14ac:dyDescent="0.25"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4"/>
    </row>
    <row r="63" spans="1:16" x14ac:dyDescent="0.25"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45"/>
    </row>
    <row r="64" spans="1:16" x14ac:dyDescent="0.25">
      <c r="A64" s="11" t="s">
        <v>69</v>
      </c>
      <c r="C64" s="12"/>
      <c r="D64" s="46">
        <v>1.5900000000000001E-2</v>
      </c>
      <c r="E64" s="13">
        <f>+D65</f>
        <v>1.5900000000000001E-2</v>
      </c>
      <c r="F64" s="13">
        <f>+E65</f>
        <v>1.5100000000000001E-2</v>
      </c>
      <c r="G64" s="13">
        <f t="shared" ref="G64:O64" si="27">+F65</f>
        <v>1.9099999999999999E-2</v>
      </c>
      <c r="H64" s="13">
        <f t="shared" si="27"/>
        <v>2.2000000000000001E-3</v>
      </c>
      <c r="I64" s="13">
        <f t="shared" si="27"/>
        <v>1.1000000000000001E-3</v>
      </c>
      <c r="J64" s="13">
        <f t="shared" si="27"/>
        <v>1E-3</v>
      </c>
      <c r="K64" s="13">
        <f t="shared" si="27"/>
        <v>1E-3</v>
      </c>
      <c r="L64" s="13">
        <f t="shared" si="27"/>
        <v>8.0000000000000004E-4</v>
      </c>
      <c r="M64" s="13">
        <f t="shared" si="27"/>
        <v>8.0000000000000004E-4</v>
      </c>
      <c r="N64" s="13">
        <f t="shared" si="27"/>
        <v>8.9999999999999998E-4</v>
      </c>
      <c r="O64" s="13">
        <f t="shared" si="27"/>
        <v>8.9999999999999998E-4</v>
      </c>
    </row>
    <row r="65" spans="1:15" x14ac:dyDescent="0.25">
      <c r="A65" s="11" t="s">
        <v>70</v>
      </c>
      <c r="D65" s="46">
        <v>1.5900000000000001E-2</v>
      </c>
      <c r="E65" s="46">
        <v>1.5100000000000001E-2</v>
      </c>
      <c r="F65" s="46">
        <v>1.9099999999999999E-2</v>
      </c>
      <c r="G65" s="46">
        <v>2.2000000000000001E-3</v>
      </c>
      <c r="H65" s="46">
        <v>1.1000000000000001E-3</v>
      </c>
      <c r="I65" s="46">
        <v>1E-3</v>
      </c>
      <c r="J65" s="46">
        <v>1E-3</v>
      </c>
      <c r="K65" s="46">
        <v>8.0000000000000004E-4</v>
      </c>
      <c r="L65" s="46">
        <v>8.0000000000000004E-4</v>
      </c>
      <c r="M65" s="46">
        <v>8.9999999999999998E-4</v>
      </c>
      <c r="N65" s="46">
        <v>8.9999999999999998E-4</v>
      </c>
      <c r="O65" s="46">
        <v>8.9999999999999998E-4</v>
      </c>
    </row>
    <row r="66" spans="1:15" x14ac:dyDescent="0.25">
      <c r="A66" s="11" t="s">
        <v>71</v>
      </c>
      <c r="D66" s="13">
        <f>ROUND(((+D65+D64)/2)/12,5)</f>
        <v>1.33E-3</v>
      </c>
      <c r="E66" s="13">
        <f t="shared" ref="E66:O66" si="28">ROUND(((+E65+E64)/2)/12,5)</f>
        <v>1.2899999999999999E-3</v>
      </c>
      <c r="F66" s="13">
        <f t="shared" si="28"/>
        <v>1.4300000000000001E-3</v>
      </c>
      <c r="G66" s="13">
        <f t="shared" si="28"/>
        <v>8.8999999999999995E-4</v>
      </c>
      <c r="H66" s="13">
        <f t="shared" si="28"/>
        <v>1.3999999999999999E-4</v>
      </c>
      <c r="I66" s="13">
        <f t="shared" si="28"/>
        <v>9.0000000000000006E-5</v>
      </c>
      <c r="J66" s="13">
        <f>ROUND(((+J65+J64)/2)/12,5)</f>
        <v>8.0000000000000007E-5</v>
      </c>
      <c r="K66" s="13">
        <f t="shared" si="28"/>
        <v>8.0000000000000007E-5</v>
      </c>
      <c r="L66" s="13">
        <f t="shared" si="28"/>
        <v>6.9999999999999994E-5</v>
      </c>
      <c r="M66" s="13">
        <f t="shared" si="28"/>
        <v>6.9999999999999994E-5</v>
      </c>
      <c r="N66" s="13">
        <f t="shared" si="28"/>
        <v>8.0000000000000007E-5</v>
      </c>
      <c r="O66" s="13">
        <f t="shared" si="28"/>
        <v>8.0000000000000007E-5</v>
      </c>
    </row>
    <row r="67" spans="1:15" x14ac:dyDescent="0.25"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</row>
    <row r="68" spans="1:15" x14ac:dyDescent="0.25"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</row>
    <row r="69" spans="1:15" x14ac:dyDescent="0.25">
      <c r="B69" s="47" t="s">
        <v>72</v>
      </c>
      <c r="D69" s="12">
        <v>-279</v>
      </c>
      <c r="E69" s="12">
        <v>-658</v>
      </c>
      <c r="F69" s="12">
        <v>-1367</v>
      </c>
      <c r="G69" s="12">
        <v>-471</v>
      </c>
      <c r="H69" s="12">
        <v>-1555</v>
      </c>
      <c r="I69" s="12">
        <v>267</v>
      </c>
      <c r="J69" s="12">
        <v>454</v>
      </c>
      <c r="K69" s="12">
        <v>860</v>
      </c>
      <c r="L69" s="12">
        <v>564</v>
      </c>
      <c r="M69" s="12">
        <v>537</v>
      </c>
      <c r="N69" s="48">
        <f>SUM(D69:M69)</f>
        <v>-1648</v>
      </c>
    </row>
    <row r="70" spans="1:15" x14ac:dyDescent="0.25">
      <c r="B70" s="47" t="s">
        <v>73</v>
      </c>
      <c r="D70" s="12">
        <v>-10</v>
      </c>
      <c r="E70" s="12">
        <v>-9</v>
      </c>
      <c r="F70" s="12">
        <v>-11</v>
      </c>
      <c r="G70" s="12">
        <v>-8</v>
      </c>
      <c r="H70" s="12">
        <v>-3</v>
      </c>
      <c r="I70" s="12">
        <v>-5</v>
      </c>
      <c r="J70" s="12">
        <v>-5</v>
      </c>
      <c r="K70" s="12">
        <v>-5</v>
      </c>
      <c r="L70" s="12">
        <v>-3</v>
      </c>
      <c r="M70" s="12">
        <v>-2</v>
      </c>
      <c r="N70" s="48">
        <f>SUM(D70:M70)</f>
        <v>-61</v>
      </c>
    </row>
    <row r="71" spans="1:15" x14ac:dyDescent="0.25"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</row>
    <row r="72" spans="1:15" x14ac:dyDescent="0.25"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</row>
    <row r="73" spans="1:15" x14ac:dyDescent="0.25">
      <c r="A73" s="11" t="s">
        <v>74</v>
      </c>
      <c r="D73" s="12"/>
      <c r="E73" s="12"/>
      <c r="L73" s="12"/>
    </row>
    <row r="74" spans="1:15" x14ac:dyDescent="0.25">
      <c r="D74" s="49" t="s">
        <v>75</v>
      </c>
      <c r="E74" s="50">
        <v>-1063</v>
      </c>
      <c r="F74" s="50">
        <v>-758</v>
      </c>
      <c r="G74" s="11">
        <v>6191</v>
      </c>
    </row>
    <row r="75" spans="1:15" x14ac:dyDescent="0.25">
      <c r="D75" s="11" t="s">
        <v>76</v>
      </c>
      <c r="E75" s="51">
        <v>-1569</v>
      </c>
      <c r="F75" s="51">
        <v>-1266</v>
      </c>
    </row>
    <row r="76" spans="1:15" x14ac:dyDescent="0.25">
      <c r="E76" s="50">
        <f>E74-E75</f>
        <v>506</v>
      </c>
      <c r="F76" s="50">
        <f>F74-F75</f>
        <v>508</v>
      </c>
    </row>
    <row r="77" spans="1:15" x14ac:dyDescent="0.25">
      <c r="E77" s="50"/>
      <c r="F77" s="52">
        <f>SUM(E76:F76)</f>
        <v>1014</v>
      </c>
    </row>
    <row r="78" spans="1:15" x14ac:dyDescent="0.25">
      <c r="E78" s="50"/>
      <c r="F78" s="50"/>
    </row>
    <row r="79" spans="1:15" x14ac:dyDescent="0.25">
      <c r="D79" s="49" t="s">
        <v>75</v>
      </c>
      <c r="E79" s="50">
        <v>12</v>
      </c>
      <c r="F79" s="50">
        <v>10</v>
      </c>
    </row>
    <row r="80" spans="1:15" x14ac:dyDescent="0.25">
      <c r="D80" s="11" t="s">
        <v>76</v>
      </c>
      <c r="E80" s="51">
        <v>6</v>
      </c>
      <c r="F80" s="51">
        <v>3</v>
      </c>
    </row>
    <row r="81" spans="5:6" x14ac:dyDescent="0.25">
      <c r="E81" s="50">
        <f>E79-E80</f>
        <v>6</v>
      </c>
      <c r="F81" s="50">
        <f>F79-F80</f>
        <v>7</v>
      </c>
    </row>
    <row r="82" spans="5:6" x14ac:dyDescent="0.25">
      <c r="E82" s="50"/>
      <c r="F82" s="52">
        <f>SUM(E81:F81)</f>
        <v>13</v>
      </c>
    </row>
    <row r="83" spans="5:6" x14ac:dyDescent="0.25">
      <c r="E83" s="50"/>
      <c r="F83" s="50"/>
    </row>
    <row r="84" spans="5:6" x14ac:dyDescent="0.25">
      <c r="E84" s="50"/>
      <c r="F84" s="50"/>
    </row>
  </sheetData>
  <protectedRanges>
    <protectedRange algorithmName="SHA-512" hashValue="Y0f+fjQCnaRWLlvfMZVc3EkjqjHaoFewCyIobSdifIUyNjrEbqpIlkRkSBC3oJ2HS1AZ3wrGx+wLKFbeX+raAw==" saltValue="JXTU+cc/Ptj3NJGegT29sg==" spinCount="100000" sqref="D9:O9 D11:O11 D13:O14 D65:O65 D53:O53 D60:O60" name="Range2"/>
    <protectedRange algorithmName="SHA-512" hashValue="QEhZahLMaTeTBc1tFDuCAyNbAiotcDrws67KNBJ8jeWkyFfe9XpO2DWYzw0Z5YSSA0pkWz4LgpmL5O9CkYpOgw==" saltValue="cg3naP2hJ7AprWVo8SKewQ==" spinCount="100000" sqref="C23 D29:D30 D33:D34 C43 D64:D65 C9:C14 C17:C20 C57:C58" name="January"/>
  </protectedRanges>
  <printOptions horizontalCentered="1"/>
  <pageMargins left="0.2" right="0.2" top="0.5" bottom="0.5" header="0.3" footer="0.3"/>
  <pageSetup scale="51" orientation="landscape" r:id="rId1"/>
  <headerFooter>
    <oddFooter>&amp;L&amp;D&amp;T&amp;R&amp;Z&amp;F</oddFooter>
  </headerFooter>
  <drawing r:id="rId2"/>
  <legacyDrawing r:id="rId3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 A C T I V E ! 1 5 6 5 1 9 8 5 . 1 < / d o c u m e n t i d >  
     < s e n d e r i d > K E A B E T < / s e n d e r i d >  
     < s e n d e r e m a i l > B K E A T I N G @ G U N S T E R . C O M < / s e n d e r e m a i l >  
     < l a s t m o d i f i e d > 2 0 2 2 - 0 6 - 2 2 T 0 8 : 4 4 : 5 5 . 0 0 0 0 0 0 0 - 0 4 : 0 0 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2021 Actual</vt:lpstr>
      <vt:lpstr>2020 Actual</vt:lpstr>
      <vt:lpstr>'2020 Actual'!Print_Area</vt:lpstr>
      <vt:lpstr>'2021 Actual'!Print_Area</vt:lpstr>
    </vt:vector>
  </TitlesOfParts>
  <Company>Chesapeake Utilities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Onsomu, Philip</dc:creator>
  <cp:lastModifiedBy>Onsomu, Philip</cp:lastModifiedBy>
  <dcterms:created xsi:type="dcterms:W3CDTF">2022-06-22T12:40:03Z</dcterms:created>
  <dcterms:modified xsi:type="dcterms:W3CDTF">2022-06-22T12:44:55Z</dcterms:modified>
</cp:coreProperties>
</file>