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ROG's 1-120\Filing\"/>
    </mc:Choice>
  </mc:AlternateContent>
  <bookViews>
    <workbookView xWindow="0" yWindow="0" windowWidth="25200" windowHeight="11850"/>
  </bookViews>
  <sheets>
    <sheet name="2021 RevEquity&amp;Debt Rate&amp;PP (5" sheetId="2" r:id="rId1"/>
    <sheet name="2020 RevEquity&amp;Debt Rate&amp;PP Oct" sheetId="3" r:id="rId2"/>
  </sheets>
  <externalReferences>
    <externalReference r:id="rId3"/>
  </externalReferences>
  <definedNames>
    <definedName name="_xlnm.Print_Area" localSheetId="1">'2020 RevEquity&amp;Debt Rate&amp;PP Oct'!$A$6:$P$74</definedName>
    <definedName name="_xlnm.Print_Area" localSheetId="0">'2021 RevEquity&amp;Debt Rate&amp;PP (5'!$A$6:$P$74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9" i="3" l="1"/>
  <c r="F107" i="3"/>
  <c r="M74" i="3"/>
  <c r="I74" i="3"/>
  <c r="H74" i="3"/>
  <c r="D74" i="3"/>
  <c r="O72" i="3"/>
  <c r="O74" i="3" s="1"/>
  <c r="N72" i="3"/>
  <c r="N74" i="3" s="1"/>
  <c r="M72" i="3"/>
  <c r="L72" i="3"/>
  <c r="L74" i="3" s="1"/>
  <c r="K72" i="3"/>
  <c r="K74" i="3" s="1"/>
  <c r="J72" i="3"/>
  <c r="J74" i="3" s="1"/>
  <c r="I72" i="3"/>
  <c r="H72" i="3"/>
  <c r="G72" i="3"/>
  <c r="G74" i="3" s="1"/>
  <c r="F72" i="3"/>
  <c r="F74" i="3" s="1"/>
  <c r="E72" i="3"/>
  <c r="E74" i="3" s="1"/>
  <c r="O70" i="3"/>
  <c r="C70" i="3"/>
  <c r="T68" i="3"/>
  <c r="S68" i="3"/>
  <c r="S66" i="3"/>
  <c r="T66" i="3" s="1"/>
  <c r="T65" i="3"/>
  <c r="S65" i="3"/>
  <c r="O63" i="3"/>
  <c r="N63" i="3"/>
  <c r="M63" i="3"/>
  <c r="L63" i="3"/>
  <c r="K63" i="3"/>
  <c r="J63" i="3"/>
  <c r="I63" i="3"/>
  <c r="H63" i="3"/>
  <c r="G63" i="3"/>
  <c r="F63" i="3"/>
  <c r="E63" i="3"/>
  <c r="D63" i="3"/>
  <c r="S61" i="3"/>
  <c r="P61" i="3"/>
  <c r="P63" i="3" s="1"/>
  <c r="S59" i="3"/>
  <c r="S58" i="3"/>
  <c r="P58" i="3"/>
  <c r="S56" i="3"/>
  <c r="S54" i="3"/>
  <c r="S53" i="3"/>
  <c r="P53" i="3"/>
  <c r="S52" i="3"/>
  <c r="P52" i="3"/>
  <c r="S51" i="3"/>
  <c r="S50" i="3"/>
  <c r="D50" i="3"/>
  <c r="D31" i="3" s="1"/>
  <c r="S49" i="3"/>
  <c r="D49" i="3"/>
  <c r="S46" i="3"/>
  <c r="S45" i="3"/>
  <c r="S44" i="3"/>
  <c r="E42" i="3"/>
  <c r="F42" i="3" s="1"/>
  <c r="G42" i="3" s="1"/>
  <c r="H42" i="3" s="1"/>
  <c r="I42" i="3" s="1"/>
  <c r="J42" i="3" s="1"/>
  <c r="K42" i="3" s="1"/>
  <c r="L42" i="3" s="1"/>
  <c r="M42" i="3" s="1"/>
  <c r="N42" i="3" s="1"/>
  <c r="O42" i="3" s="1"/>
  <c r="P42" i="3" s="1"/>
  <c r="F41" i="3"/>
  <c r="G41" i="3" s="1"/>
  <c r="H41" i="3" s="1"/>
  <c r="I41" i="3" s="1"/>
  <c r="J41" i="3" s="1"/>
  <c r="K41" i="3" s="1"/>
  <c r="L41" i="3" s="1"/>
  <c r="M41" i="3" s="1"/>
  <c r="N41" i="3" s="1"/>
  <c r="O41" i="3" s="1"/>
  <c r="P41" i="3" s="1"/>
  <c r="E41" i="3"/>
  <c r="H38" i="3"/>
  <c r="I38" i="3" s="1"/>
  <c r="J38" i="3" s="1"/>
  <c r="K38" i="3" s="1"/>
  <c r="L38" i="3" s="1"/>
  <c r="M38" i="3" s="1"/>
  <c r="N38" i="3" s="1"/>
  <c r="O38" i="3" s="1"/>
  <c r="P38" i="3" s="1"/>
  <c r="F38" i="3"/>
  <c r="G38" i="3" s="1"/>
  <c r="E38" i="3"/>
  <c r="E37" i="3"/>
  <c r="F37" i="3" s="1"/>
  <c r="G37" i="3" s="1"/>
  <c r="H37" i="3" s="1"/>
  <c r="I37" i="3" s="1"/>
  <c r="J37" i="3" s="1"/>
  <c r="K37" i="3" s="1"/>
  <c r="L37" i="3" s="1"/>
  <c r="M37" i="3" s="1"/>
  <c r="N37" i="3" s="1"/>
  <c r="O37" i="3" s="1"/>
  <c r="P37" i="3" s="1"/>
  <c r="S32" i="3"/>
  <c r="C32" i="3"/>
  <c r="E51" i="3" s="1"/>
  <c r="S31" i="3"/>
  <c r="T29" i="3"/>
  <c r="S29" i="3"/>
  <c r="C29" i="3"/>
  <c r="S28" i="3"/>
  <c r="T28" i="3" s="1"/>
  <c r="E28" i="3"/>
  <c r="D28" i="3"/>
  <c r="E50" i="3" s="1"/>
  <c r="S27" i="3"/>
  <c r="T27" i="3" s="1"/>
  <c r="D27" i="3"/>
  <c r="T26" i="3"/>
  <c r="S26" i="3"/>
  <c r="E26" i="3"/>
  <c r="S25" i="3"/>
  <c r="T25" i="3" s="1"/>
  <c r="D25" i="3"/>
  <c r="D29" i="3" s="1"/>
  <c r="S22" i="3"/>
  <c r="T22" i="3" s="1"/>
  <c r="N22" i="3"/>
  <c r="N13" i="3" s="1"/>
  <c r="S21" i="3"/>
  <c r="T21" i="3" s="1"/>
  <c r="P21" i="3"/>
  <c r="T20" i="3"/>
  <c r="S20" i="3"/>
  <c r="O20" i="3"/>
  <c r="N20" i="3"/>
  <c r="M20" i="3"/>
  <c r="L20" i="3"/>
  <c r="K20" i="3"/>
  <c r="J20" i="3"/>
  <c r="I20" i="3"/>
  <c r="H20" i="3"/>
  <c r="G20" i="3"/>
  <c r="F20" i="3"/>
  <c r="E20" i="3"/>
  <c r="D20" i="3"/>
  <c r="D26" i="3" s="1"/>
  <c r="S19" i="3"/>
  <c r="T19" i="3" s="1"/>
  <c r="L19" i="3"/>
  <c r="F19" i="3"/>
  <c r="T18" i="3"/>
  <c r="S18" i="3"/>
  <c r="O18" i="3"/>
  <c r="N18" i="3"/>
  <c r="M18" i="3"/>
  <c r="L18" i="3"/>
  <c r="K18" i="3"/>
  <c r="J18" i="3"/>
  <c r="I18" i="3"/>
  <c r="H18" i="3"/>
  <c r="G18" i="3"/>
  <c r="F18" i="3"/>
  <c r="E18" i="3"/>
  <c r="D18" i="3"/>
  <c r="P18" i="3" s="1"/>
  <c r="S17" i="3"/>
  <c r="T17" i="3" s="1"/>
  <c r="L17" i="3"/>
  <c r="F17" i="3"/>
  <c r="O13" i="3"/>
  <c r="M13" i="3"/>
  <c r="L13" i="3"/>
  <c r="K13" i="3"/>
  <c r="J13" i="3"/>
  <c r="I13" i="3"/>
  <c r="H13" i="3"/>
  <c r="G13" i="3"/>
  <c r="E13" i="3"/>
  <c r="D13" i="3"/>
  <c r="D30" i="3" l="1"/>
  <c r="D32" i="3"/>
  <c r="F50" i="3"/>
  <c r="F28" i="3"/>
  <c r="E49" i="3"/>
  <c r="E54" i="3" s="1"/>
  <c r="E27" i="3"/>
  <c r="E25" i="3"/>
  <c r="E31" i="3"/>
  <c r="P17" i="3"/>
  <c r="F25" i="3"/>
  <c r="L51" i="3"/>
  <c r="H51" i="3"/>
  <c r="D51" i="3"/>
  <c r="N51" i="3"/>
  <c r="I51" i="3"/>
  <c r="F51" i="3"/>
  <c r="M51" i="3"/>
  <c r="G51" i="3"/>
  <c r="K51" i="3"/>
  <c r="D34" i="3"/>
  <c r="O51" i="3"/>
  <c r="P19" i="3"/>
  <c r="F13" i="3"/>
  <c r="F26" i="3"/>
  <c r="G26" i="3" s="1"/>
  <c r="H26" i="3" s="1"/>
  <c r="I26" i="3" s="1"/>
  <c r="J26" i="3" s="1"/>
  <c r="K26" i="3" s="1"/>
  <c r="L26" i="3"/>
  <c r="M26" i="3" s="1"/>
  <c r="N26" i="3" s="1"/>
  <c r="O26" i="3" s="1"/>
  <c r="P26" i="3" s="1"/>
  <c r="P22" i="3"/>
  <c r="T32" i="3"/>
  <c r="J51" i="3"/>
  <c r="P20" i="3"/>
  <c r="D54" i="3"/>
  <c r="G25" i="3" l="1"/>
  <c r="P51" i="3"/>
  <c r="D45" i="3"/>
  <c r="D44" i="3"/>
  <c r="F31" i="3"/>
  <c r="F27" i="3"/>
  <c r="F49" i="3"/>
  <c r="G28" i="3"/>
  <c r="G50" i="3"/>
  <c r="E29" i="3"/>
  <c r="G27" i="3" l="1"/>
  <c r="G49" i="3"/>
  <c r="G54" i="3" s="1"/>
  <c r="H28" i="3"/>
  <c r="H50" i="3"/>
  <c r="G29" i="3"/>
  <c r="H25" i="3"/>
  <c r="D46" i="3"/>
  <c r="D56" i="3" s="1"/>
  <c r="D59" i="3" s="1"/>
  <c r="D65" i="3" s="1"/>
  <c r="F29" i="3"/>
  <c r="E32" i="3"/>
  <c r="E30" i="3"/>
  <c r="F54" i="3"/>
  <c r="E34" i="3" l="1"/>
  <c r="I25" i="3"/>
  <c r="F32" i="3"/>
  <c r="F30" i="3"/>
  <c r="G30" i="3"/>
  <c r="H49" i="3"/>
  <c r="H54" i="3" s="1"/>
  <c r="H27" i="3"/>
  <c r="G31" i="3"/>
  <c r="H31" i="3" s="1"/>
  <c r="D66" i="3"/>
  <c r="D68" i="3"/>
  <c r="I50" i="3"/>
  <c r="I28" i="3"/>
  <c r="J50" i="3" l="1"/>
  <c r="J28" i="3"/>
  <c r="G32" i="3"/>
  <c r="J25" i="3"/>
  <c r="I49" i="3"/>
  <c r="I54" i="3" s="1"/>
  <c r="I27" i="3"/>
  <c r="H29" i="3"/>
  <c r="D70" i="3"/>
  <c r="E44" i="3"/>
  <c r="E45" i="3"/>
  <c r="F34" i="3"/>
  <c r="J27" i="3" l="1"/>
  <c r="J49" i="3"/>
  <c r="J54" i="3" s="1"/>
  <c r="I31" i="3"/>
  <c r="J31" i="3" s="1"/>
  <c r="E46" i="3"/>
  <c r="E56" i="3" s="1"/>
  <c r="E59" i="3" s="1"/>
  <c r="E65" i="3" s="1"/>
  <c r="K28" i="3"/>
  <c r="K50" i="3"/>
  <c r="F44" i="3"/>
  <c r="F45" i="3"/>
  <c r="J29" i="3"/>
  <c r="K25" i="3"/>
  <c r="G34" i="3"/>
  <c r="H30" i="3"/>
  <c r="H32" i="3"/>
  <c r="I29" i="3"/>
  <c r="J32" i="3" l="1"/>
  <c r="J30" i="3"/>
  <c r="F46" i="3"/>
  <c r="F56" i="3" s="1"/>
  <c r="F59" i="3" s="1"/>
  <c r="F65" i="3" s="1"/>
  <c r="L50" i="3"/>
  <c r="L28" i="3"/>
  <c r="G45" i="3"/>
  <c r="G44" i="3"/>
  <c r="G46" i="3" s="1"/>
  <c r="G56" i="3" s="1"/>
  <c r="G59" i="3" s="1"/>
  <c r="G65" i="3" s="1"/>
  <c r="I32" i="3"/>
  <c r="J34" i="3" s="1"/>
  <c r="I30" i="3"/>
  <c r="L25" i="3"/>
  <c r="H34" i="3"/>
  <c r="E66" i="3"/>
  <c r="E68" i="3"/>
  <c r="K27" i="3"/>
  <c r="K49" i="3"/>
  <c r="K54" i="3" s="1"/>
  <c r="H45" i="3" l="1"/>
  <c r="H44" i="3"/>
  <c r="H46" i="3" s="1"/>
  <c r="H56" i="3" s="1"/>
  <c r="H59" i="3" s="1"/>
  <c r="H65" i="3" s="1"/>
  <c r="I34" i="3"/>
  <c r="J44" i="3"/>
  <c r="J45" i="3"/>
  <c r="K31" i="3"/>
  <c r="L49" i="3"/>
  <c r="L54" i="3" s="1"/>
  <c r="L27" i="3"/>
  <c r="L29" i="3"/>
  <c r="M25" i="3"/>
  <c r="E70" i="3"/>
  <c r="F66" i="3"/>
  <c r="F68" i="3"/>
  <c r="K29" i="3"/>
  <c r="M28" i="3"/>
  <c r="M50" i="3"/>
  <c r="K32" i="3" l="1"/>
  <c r="K30" i="3"/>
  <c r="L31" i="3"/>
  <c r="N50" i="3"/>
  <c r="N28" i="3"/>
  <c r="L30" i="3"/>
  <c r="N25" i="3"/>
  <c r="I44" i="3"/>
  <c r="I45" i="3"/>
  <c r="G66" i="3"/>
  <c r="F70" i="3"/>
  <c r="M49" i="3"/>
  <c r="M54" i="3" s="1"/>
  <c r="M27" i="3"/>
  <c r="J46" i="3"/>
  <c r="J56" i="3" s="1"/>
  <c r="J59" i="3" s="1"/>
  <c r="J65" i="3" s="1"/>
  <c r="G68" i="3" l="1"/>
  <c r="N27" i="3"/>
  <c r="N49" i="3"/>
  <c r="N54" i="3" s="1"/>
  <c r="M29" i="3"/>
  <c r="M31" i="3"/>
  <c r="I46" i="3"/>
  <c r="I56" i="3" s="1"/>
  <c r="I59" i="3" s="1"/>
  <c r="I65" i="3" s="1"/>
  <c r="L32" i="3"/>
  <c r="O25" i="3"/>
  <c r="O28" i="3"/>
  <c r="P28" i="3" s="1"/>
  <c r="O50" i="3"/>
  <c r="P50" i="3" s="1"/>
  <c r="L34" i="3"/>
  <c r="K34" i="3"/>
  <c r="K44" i="3" l="1"/>
  <c r="K46" i="3" s="1"/>
  <c r="K56" i="3" s="1"/>
  <c r="K59" i="3" s="1"/>
  <c r="K65" i="3" s="1"/>
  <c r="K45" i="3"/>
  <c r="O29" i="3"/>
  <c r="P25" i="3"/>
  <c r="P29" i="3" s="1"/>
  <c r="O49" i="3"/>
  <c r="O27" i="3"/>
  <c r="P27" i="3" s="1"/>
  <c r="N29" i="3"/>
  <c r="L45" i="3"/>
  <c r="L44" i="3"/>
  <c r="L46" i="3" s="1"/>
  <c r="L56" i="3" s="1"/>
  <c r="L59" i="3" s="1"/>
  <c r="L65" i="3" s="1"/>
  <c r="N31" i="3"/>
  <c r="H66" i="3"/>
  <c r="G70" i="3"/>
  <c r="H68" i="3"/>
  <c r="M32" i="3"/>
  <c r="M30" i="3"/>
  <c r="I66" i="3" l="1"/>
  <c r="I68" i="3" s="1"/>
  <c r="H70" i="3"/>
  <c r="O54" i="3"/>
  <c r="P49" i="3"/>
  <c r="P54" i="3" s="1"/>
  <c r="P32" i="3"/>
  <c r="N34" i="3"/>
  <c r="N30" i="3"/>
  <c r="N32" i="3"/>
  <c r="O32" i="3"/>
  <c r="O30" i="3"/>
  <c r="M34" i="3"/>
  <c r="O31" i="3"/>
  <c r="P31" i="3" s="1"/>
  <c r="I70" i="3" l="1"/>
  <c r="J66" i="3"/>
  <c r="J68" i="3"/>
  <c r="M45" i="3"/>
  <c r="M44" i="3"/>
  <c r="N44" i="3"/>
  <c r="N45" i="3"/>
  <c r="O34" i="3"/>
  <c r="O44" i="3" l="1"/>
  <c r="O45" i="3"/>
  <c r="P45" i="3" s="1"/>
  <c r="K66" i="3"/>
  <c r="K68" i="3" s="1"/>
  <c r="J70" i="3"/>
  <c r="N46" i="3"/>
  <c r="N56" i="3" s="1"/>
  <c r="N59" i="3" s="1"/>
  <c r="N65" i="3" s="1"/>
  <c r="M46" i="3"/>
  <c r="M56" i="3" s="1"/>
  <c r="M59" i="3" s="1"/>
  <c r="M65" i="3" s="1"/>
  <c r="L66" i="3" l="1"/>
  <c r="K70" i="3"/>
  <c r="L68" i="3"/>
  <c r="O46" i="3"/>
  <c r="O56" i="3" s="1"/>
  <c r="O59" i="3" s="1"/>
  <c r="O65" i="3" s="1"/>
  <c r="P44" i="3"/>
  <c r="P46" i="3" s="1"/>
  <c r="P56" i="3" s="1"/>
  <c r="P59" i="3" s="1"/>
  <c r="P65" i="3" s="1"/>
  <c r="L70" i="3" l="1"/>
  <c r="M66" i="3"/>
  <c r="M68" i="3" s="1"/>
  <c r="N120" i="3" l="1"/>
  <c r="M70" i="3"/>
  <c r="N66" i="3"/>
  <c r="N68" i="3" s="1"/>
  <c r="O66" i="3" l="1"/>
  <c r="P66" i="3" s="1"/>
  <c r="N70" i="3"/>
  <c r="O68" i="3"/>
  <c r="P68" i="3" s="1"/>
</calcChain>
</file>

<file path=xl/comments1.xml><?xml version="1.0" encoding="utf-8"?>
<comments xmlns="http://schemas.openxmlformats.org/spreadsheetml/2006/main">
  <authors>
    <author>eschneider</author>
    <author>Edwards, Moir</author>
    <author>Moore, Michael</author>
    <author>cheryl_martin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</rPr>
          <t xml:space="preserve">kbaker:                           Monthly GRIP Expenditures.  All Expenses charged to GRIP Mains Projects
</t>
        </r>
      </text>
    </comment>
    <comment ref="B18" authorId="1" shapeId="0">
      <text>
        <r>
          <rPr>
            <b/>
            <sz val="9"/>
            <color indexed="81"/>
            <rFont val="Tahoma"/>
            <family val="2"/>
          </rPr>
          <t xml:space="preserve">kbaker:                         Total GRIP Mains Capital Expenditures closed to plant in current month (CR 1070 DB 1010)
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kbaker:                           Monthly GRIP Expenditures.  All Expenses charged to GRIP Services Projects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1" shapeId="0">
      <text>
        <r>
          <rPr>
            <b/>
            <sz val="9"/>
            <color indexed="81"/>
            <rFont val="Tahoma"/>
            <family val="2"/>
          </rPr>
          <t>kbaker:                         Total GRIP Services Capital Expenditures closed to plant in current month (CR 1070 DB 1010)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kbaker:                               Total addition to the 1010 376G account for the current month</t>
        </r>
      </text>
    </comment>
    <comment ref="M21" authorId="2" shapeId="0">
      <text>
        <r>
          <rPr>
            <b/>
            <sz val="9"/>
            <color indexed="81"/>
            <rFont val="Tahoma"/>
            <family val="2"/>
          </rPr>
          <t>Moore, Michael:</t>
        </r>
        <r>
          <rPr>
            <sz val="9"/>
            <color indexed="81"/>
            <rFont val="Tahoma"/>
            <family val="2"/>
          </rPr>
          <t xml:space="preserve">
Lauren's PDF Mains</t>
        </r>
      </text>
    </comment>
    <comment ref="O21" authorId="2" shapeId="0">
      <text>
        <r>
          <rPr>
            <b/>
            <sz val="9"/>
            <color indexed="81"/>
            <rFont val="Tahoma"/>
            <family val="2"/>
          </rPr>
          <t>Moore, Michael:</t>
        </r>
        <r>
          <rPr>
            <sz val="9"/>
            <color indexed="81"/>
            <rFont val="Tahoma"/>
            <family val="2"/>
          </rPr>
          <t xml:space="preserve">
from Lauren PDF file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kbaker:                               Total addition to the 1010 380G account for the current month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2" authorId="2" shapeId="0">
      <text>
        <r>
          <rPr>
            <b/>
            <sz val="9"/>
            <color indexed="81"/>
            <rFont val="Tahoma"/>
            <family val="2"/>
          </rPr>
          <t>Moore, Michael:</t>
        </r>
        <r>
          <rPr>
            <sz val="9"/>
            <color indexed="81"/>
            <rFont val="Tahoma"/>
            <family val="2"/>
          </rPr>
          <t xml:space="preserve">
Lauren's PDF Services</t>
        </r>
      </text>
    </comment>
    <comment ref="B27" authorId="1" shapeId="0">
      <text>
        <r>
          <rPr>
            <b/>
            <sz val="9"/>
            <color indexed="81"/>
            <rFont val="Tahoma"/>
            <family val="2"/>
          </rPr>
          <t>kbaker:
Total fixed assets in account 376G</t>
        </r>
      </text>
    </comment>
    <comment ref="B28" authorId="1" shapeId="0">
      <text>
        <r>
          <rPr>
            <b/>
            <sz val="9"/>
            <color indexed="81"/>
            <rFont val="Tahoma"/>
            <family val="2"/>
          </rPr>
          <t xml:space="preserve">kbaker:
Total fixed assets in account 380G
</t>
        </r>
      </text>
    </comment>
    <comment ref="B31" authorId="1" shapeId="0">
      <text>
        <r>
          <rPr>
            <sz val="9"/>
            <color indexed="81"/>
            <rFont val="Tahoma"/>
            <family val="2"/>
          </rPr>
          <t xml:space="preserve">Total AD rolled forward from 2014 plus current months AD booked based on the previous month's asset balance
</t>
        </r>
      </text>
    </comment>
    <comment ref="B37" authorId="1" shapeId="0">
      <text>
        <r>
          <rPr>
            <b/>
            <sz val="9"/>
            <color indexed="81"/>
            <rFont val="Tahoma"/>
            <family val="2"/>
          </rPr>
          <t xml:space="preserve">kbaker:
Rate based on 2014 depreciation study
</t>
        </r>
      </text>
    </comment>
    <comment ref="B38" authorId="1" shapeId="0">
      <text>
        <r>
          <rPr>
            <b/>
            <sz val="9"/>
            <color indexed="81"/>
            <rFont val="Tahoma"/>
            <family val="2"/>
          </rPr>
          <t xml:space="preserve">kbaker:
Rate based on 2014 depreciation study
</t>
        </r>
      </text>
    </comment>
    <comment ref="B41" authorId="1" shapeId="0">
      <text>
        <r>
          <rPr>
            <b/>
            <sz val="9"/>
            <color indexed="81"/>
            <rFont val="Tahoma"/>
            <family val="2"/>
          </rPr>
          <t xml:space="preserve">kbaker:
Provided by Regulatory based on previous years ESR
</t>
        </r>
      </text>
    </comment>
    <comment ref="B42" authorId="1" shapeId="0">
      <text>
        <r>
          <rPr>
            <b/>
            <sz val="9"/>
            <color indexed="81"/>
            <rFont val="Tahoma"/>
            <family val="2"/>
          </rPr>
          <t xml:space="preserve">kbaker:
Provided by Regulatory based on previous years ESR
</t>
        </r>
      </text>
    </comment>
    <comment ref="B44" authorId="1" shapeId="0">
      <text>
        <r>
          <rPr>
            <b/>
            <sz val="9"/>
            <color indexed="81"/>
            <rFont val="Tahoma"/>
            <family val="2"/>
          </rPr>
          <t>kbaker:
Average Net Qualified Investment for current month multiplied by the Equity-Cost of Capital Rate</t>
        </r>
      </text>
    </comment>
    <comment ref="B45" authorId="1" shapeId="0">
      <text>
        <r>
          <rPr>
            <b/>
            <sz val="9"/>
            <color indexed="81"/>
            <rFont val="Tahoma"/>
            <family val="2"/>
          </rPr>
          <t>kbaker:
Average Net Qualified Investment for current month multiplied by the Debt-Cost of Capital Rate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9" authorId="1" shapeId="0">
      <text>
        <r>
          <rPr>
            <b/>
            <sz val="9"/>
            <color indexed="81"/>
            <rFont val="Tahoma"/>
            <family val="2"/>
          </rPr>
          <t>kbaker:
Previous month's 376G plant balance multiplied by deprecation rate</t>
        </r>
      </text>
    </comment>
    <comment ref="B50" authorId="1" shapeId="0">
      <text>
        <r>
          <rPr>
            <b/>
            <sz val="9"/>
            <color indexed="81"/>
            <rFont val="Tahoma"/>
            <family val="2"/>
          </rPr>
          <t>kbaker:
Previous month's 380G plant balance multiplied by deprecation rate</t>
        </r>
      </text>
    </comment>
    <comment ref="B52" authorId="3" shapeId="0">
      <text>
        <r>
          <rPr>
            <b/>
            <sz val="10"/>
            <color indexed="81"/>
            <rFont val="Tahoma"/>
            <family val="2"/>
          </rPr>
          <t>cheryl_martin:</t>
        </r>
        <r>
          <rPr>
            <sz val="10"/>
            <color indexed="81"/>
            <rFont val="Tahoma"/>
            <family val="2"/>
          </rPr>
          <t xml:space="preserve">
FN00.GP400.7090.9130
</t>
        </r>
      </text>
    </comment>
    <comment ref="B53" authorId="3" shapeId="0">
      <text>
        <r>
          <rPr>
            <b/>
            <sz val="10"/>
            <color indexed="81"/>
            <rFont val="Tahoma"/>
            <family val="2"/>
          </rPr>
          <t>cheryl_martin:</t>
        </r>
        <r>
          <rPr>
            <sz val="10"/>
            <color indexed="81"/>
            <rFont val="Tahoma"/>
            <family val="2"/>
          </rPr>
          <t xml:space="preserve">
FN00.GP400.7020.9130
</t>
        </r>
      </text>
    </comment>
    <comment ref="B58" authorId="1" shapeId="0">
      <text>
        <r>
          <rPr>
            <b/>
            <sz val="9"/>
            <color indexed="81"/>
            <rFont val="Tahoma"/>
            <family val="2"/>
          </rPr>
          <t>Kbaker:
FPUC is reducing the amount recovered through the GRIP surcharges to account for the bare steel amortization currently embedded in base rates.</t>
        </r>
      </text>
    </comment>
    <comment ref="B61" authorId="1" shapeId="0">
      <text>
        <r>
          <rPr>
            <b/>
            <sz val="9"/>
            <color indexed="81"/>
            <rFont val="Tahoma"/>
            <family val="2"/>
          </rPr>
          <t>kabaker:
Amount billed through ECIS as surchage to customers monthly
FN__GP400 4% 4% no grip over/under</t>
        </r>
      </text>
    </comment>
    <comment ref="B62" authorId="1" shapeId="0">
      <text>
        <r>
          <rPr>
            <b/>
            <sz val="9"/>
            <color indexed="81"/>
            <rFont val="Tahoma"/>
            <family val="2"/>
          </rPr>
          <t xml:space="preserve">Grossed Up for the PSC assessment to be paid each year
</t>
        </r>
      </text>
    </comment>
  </commentList>
</comments>
</file>

<file path=xl/comments2.xml><?xml version="1.0" encoding="utf-8"?>
<comments xmlns="http://schemas.openxmlformats.org/spreadsheetml/2006/main">
  <authors>
    <author>eschneider</author>
    <author>Edwards, Moir</author>
    <author>Moore, Michael</author>
    <author>cheryl_martin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</rPr>
          <t xml:space="preserve">kbaker:                           Monthly GRIP Expenditures.  All Expenses charged to GRIP Mains Projects
</t>
        </r>
      </text>
    </comment>
    <comment ref="B18" authorId="1" shapeId="0">
      <text>
        <r>
          <rPr>
            <b/>
            <sz val="9"/>
            <color indexed="81"/>
            <rFont val="Tahoma"/>
            <family val="2"/>
          </rPr>
          <t xml:space="preserve">kbaker:                         Total GRIP Mains Capital Expenditures closed to plant in current month (CR 1070 DB 1010)
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kbaker:                           Monthly GRIP Expenditures.  All Expenses charged to GRIP Services Projects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1" shapeId="0">
      <text>
        <r>
          <rPr>
            <b/>
            <sz val="9"/>
            <color indexed="81"/>
            <rFont val="Tahoma"/>
            <family val="2"/>
          </rPr>
          <t>kbaker:                         Total GRIP Services Capital Expenditures closed to plant in current month (CR 1070 DB 1010)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kbaker:                               Total addition to the 1010 376G account for the current month</t>
        </r>
      </text>
    </comment>
    <comment ref="O21" authorId="2" shapeId="0">
      <text>
        <r>
          <rPr>
            <b/>
            <sz val="9"/>
            <color indexed="81"/>
            <rFont val="Tahoma"/>
            <family val="2"/>
          </rPr>
          <t>Moore, Michael:</t>
        </r>
        <r>
          <rPr>
            <sz val="9"/>
            <color indexed="81"/>
            <rFont val="Tahoma"/>
            <family val="2"/>
          </rPr>
          <t xml:space="preserve">
from Lauren PDF file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kbaker:                               Total addition to the 1010 380G account for the current month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1" shapeId="0">
      <text>
        <r>
          <rPr>
            <b/>
            <sz val="9"/>
            <color indexed="81"/>
            <rFont val="Tahoma"/>
            <family val="2"/>
          </rPr>
          <t>kbaker:
Total fixed assets in account 376G</t>
        </r>
      </text>
    </comment>
    <comment ref="B28" authorId="1" shapeId="0">
      <text>
        <r>
          <rPr>
            <b/>
            <sz val="9"/>
            <color indexed="81"/>
            <rFont val="Tahoma"/>
            <family val="2"/>
          </rPr>
          <t xml:space="preserve">kbaker:
Total fixed assets in account 380G
</t>
        </r>
      </text>
    </comment>
    <comment ref="B31" authorId="1" shapeId="0">
      <text>
        <r>
          <rPr>
            <sz val="9"/>
            <color indexed="81"/>
            <rFont val="Tahoma"/>
            <family val="2"/>
          </rPr>
          <t xml:space="preserve">Total AD rolled forward from 2014 plus current months AD booked based on the previous month's asset balance
</t>
        </r>
      </text>
    </comment>
    <comment ref="B37" authorId="1" shapeId="0">
      <text>
        <r>
          <rPr>
            <b/>
            <sz val="9"/>
            <color indexed="81"/>
            <rFont val="Tahoma"/>
            <family val="2"/>
          </rPr>
          <t xml:space="preserve">kbaker:
Rate based on 2014 depreciation study
</t>
        </r>
      </text>
    </comment>
    <comment ref="B38" authorId="1" shapeId="0">
      <text>
        <r>
          <rPr>
            <b/>
            <sz val="9"/>
            <color indexed="81"/>
            <rFont val="Tahoma"/>
            <family val="2"/>
          </rPr>
          <t xml:space="preserve">kbaker:
Rate based on 2014 depreciation study
</t>
        </r>
      </text>
    </comment>
    <comment ref="B41" authorId="1" shapeId="0">
      <text>
        <r>
          <rPr>
            <b/>
            <sz val="9"/>
            <color indexed="81"/>
            <rFont val="Tahoma"/>
            <family val="2"/>
          </rPr>
          <t xml:space="preserve">kbaker:
Provided by Regulatory based on previous years ESR
</t>
        </r>
      </text>
    </comment>
    <comment ref="B42" authorId="1" shapeId="0">
      <text>
        <r>
          <rPr>
            <b/>
            <sz val="9"/>
            <color indexed="81"/>
            <rFont val="Tahoma"/>
            <family val="2"/>
          </rPr>
          <t xml:space="preserve">kbaker:
Provided by Regulatory based on previous years ESR
</t>
        </r>
      </text>
    </comment>
    <comment ref="B44" authorId="1" shapeId="0">
      <text>
        <r>
          <rPr>
            <b/>
            <sz val="9"/>
            <color indexed="81"/>
            <rFont val="Tahoma"/>
            <family val="2"/>
          </rPr>
          <t>kbaker:
Average Net Qualified Investment for current month multiplied by the Equity-Cost of Capital Rate</t>
        </r>
      </text>
    </comment>
    <comment ref="B45" authorId="1" shapeId="0">
      <text>
        <r>
          <rPr>
            <b/>
            <sz val="9"/>
            <color indexed="81"/>
            <rFont val="Tahoma"/>
            <family val="2"/>
          </rPr>
          <t>kbaker:
Average Net Qualified Investment for current month multiplied by the Debt-Cost of Capital Rate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9" authorId="1" shapeId="0">
      <text>
        <r>
          <rPr>
            <b/>
            <sz val="9"/>
            <color indexed="81"/>
            <rFont val="Tahoma"/>
            <family val="2"/>
          </rPr>
          <t>kbaker:
Previous month's 376G plant balance multiplied by deprecation rate</t>
        </r>
      </text>
    </comment>
    <comment ref="B50" authorId="1" shapeId="0">
      <text>
        <r>
          <rPr>
            <b/>
            <sz val="9"/>
            <color indexed="81"/>
            <rFont val="Tahoma"/>
            <family val="2"/>
          </rPr>
          <t>kbaker:
Previous month's 380G plant balance multiplied by deprecation rate</t>
        </r>
      </text>
    </comment>
    <comment ref="B52" authorId="3" shapeId="0">
      <text>
        <r>
          <rPr>
            <b/>
            <sz val="10"/>
            <color indexed="81"/>
            <rFont val="Tahoma"/>
            <family val="2"/>
          </rPr>
          <t>cheryl_martin:</t>
        </r>
        <r>
          <rPr>
            <sz val="10"/>
            <color indexed="81"/>
            <rFont val="Tahoma"/>
            <family val="2"/>
          </rPr>
          <t xml:space="preserve">
FN00.GP400.7090.9130
</t>
        </r>
      </text>
    </comment>
    <comment ref="B53" authorId="3" shapeId="0">
      <text>
        <r>
          <rPr>
            <b/>
            <sz val="10"/>
            <color indexed="81"/>
            <rFont val="Tahoma"/>
            <family val="2"/>
          </rPr>
          <t>cheryl_martin:</t>
        </r>
        <r>
          <rPr>
            <sz val="10"/>
            <color indexed="81"/>
            <rFont val="Tahoma"/>
            <family val="2"/>
          </rPr>
          <t xml:space="preserve">
FN00.GP400.7020.9130
</t>
        </r>
      </text>
    </comment>
    <comment ref="B58" authorId="1" shapeId="0">
      <text>
        <r>
          <rPr>
            <b/>
            <sz val="9"/>
            <color indexed="81"/>
            <rFont val="Tahoma"/>
            <family val="2"/>
          </rPr>
          <t>Kbaker:
FPUC is reducing the amount recovered through the GRIP surcharges to account for the bare steel amortization currently embedded in base rates.</t>
        </r>
      </text>
    </comment>
    <comment ref="B61" authorId="1" shapeId="0">
      <text>
        <r>
          <rPr>
            <b/>
            <sz val="9"/>
            <color indexed="81"/>
            <rFont val="Tahoma"/>
            <family val="2"/>
          </rPr>
          <t>kabaker:
Amount billed through ECIS as surchage to customers monthly
FN__GP400 4% 4% no grip over/under</t>
        </r>
      </text>
    </comment>
    <comment ref="B62" authorId="1" shapeId="0">
      <text>
        <r>
          <rPr>
            <b/>
            <sz val="9"/>
            <color indexed="81"/>
            <rFont val="Tahoma"/>
            <family val="2"/>
          </rPr>
          <t xml:space="preserve">Grossed Up for the PSC assessment to be paid each year
</t>
        </r>
      </text>
    </comment>
  </commentList>
</comments>
</file>

<file path=xl/sharedStrings.xml><?xml version="1.0" encoding="utf-8"?>
<sst xmlns="http://schemas.openxmlformats.org/spreadsheetml/2006/main" count="230" uniqueCount="94">
  <si>
    <t>GRIP REVISED DEBT &amp; EQUITY RATES EFFECTIVE 04/2020</t>
  </si>
  <si>
    <t xml:space="preserve">GRIP REVISED FOR May error in services </t>
  </si>
  <si>
    <t>Florida Public Utilities Company</t>
  </si>
  <si>
    <t>Attachment G</t>
  </si>
  <si>
    <r>
      <t xml:space="preserve">Gas Reliability Infrastructure Program (GRIP) </t>
    </r>
    <r>
      <rPr>
        <b/>
        <sz val="11"/>
        <color theme="1"/>
        <rFont val="Times New Roman"/>
        <family val="1"/>
      </rPr>
      <t xml:space="preserve"> 2605/9-253G and 1609-186G</t>
    </r>
  </si>
  <si>
    <t>2021 Revised 8/31/2021</t>
  </si>
  <si>
    <t>Schedule B (FPUC)</t>
  </si>
  <si>
    <t>Calculation of the Actual Revenue Requirements</t>
  </si>
  <si>
    <t>Page 1 of 1</t>
  </si>
  <si>
    <t>January 01, 2021 through December 31, 2021</t>
  </si>
  <si>
    <t>Dollars shown in the correct month</t>
  </si>
  <si>
    <t>Service Accrual</t>
  </si>
  <si>
    <t>Beginning</t>
  </si>
  <si>
    <t>Year End</t>
  </si>
  <si>
    <t>Item</t>
  </si>
  <si>
    <t>Balance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</si>
  <si>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</si>
  <si>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</si>
  <si>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</si>
  <si>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</si>
  <si>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</si>
  <si>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</si>
  <si>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</si>
  <si>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</si>
  <si>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</si>
  <si>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</si>
  <si>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</si>
  <si>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</si>
  <si>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Total/Balance</t>
  </si>
  <si>
    <t>Qualified Investment</t>
  </si>
  <si>
    <t>Qualified Investment - Mains - Current   1070 Activity</t>
  </si>
  <si>
    <t>Hard Key - 2 decimals</t>
  </si>
  <si>
    <t>Closed- 1070 Activity to Plant for Mains</t>
  </si>
  <si>
    <t>formula -Mains 1010</t>
  </si>
  <si>
    <t>Qualified Investment - Services - Current  1070 Activity</t>
  </si>
  <si>
    <t>Closed- 1070 Activity to Plant for Service</t>
  </si>
  <si>
    <t>formula -Services 1010</t>
  </si>
  <si>
    <t>Qualified Investment - Mains - Current  1010 Activity</t>
  </si>
  <si>
    <t>Qualified Investment - Services - Current  1010 Activity</t>
  </si>
  <si>
    <t>Total Qualified Investment - Mains 1070</t>
  </si>
  <si>
    <t>formula</t>
  </si>
  <si>
    <t>Total Qualified Investment - Services 1070</t>
  </si>
  <si>
    <t>Total Qualified Investment - Mains 1010</t>
  </si>
  <si>
    <t>Total Qualified Investment - Services 1010</t>
  </si>
  <si>
    <t>Total Qualified Investment</t>
  </si>
  <si>
    <t>check</t>
  </si>
  <si>
    <t>Less:  Accumulated Depreciation</t>
  </si>
  <si>
    <t>Net Book Value</t>
  </si>
  <si>
    <t>Average Net Qualified Investment</t>
  </si>
  <si>
    <t>formula - round to zero</t>
  </si>
  <si>
    <t>Depreciation Rates</t>
  </si>
  <si>
    <t>Approved Depreciation Rate-Mains</t>
  </si>
  <si>
    <t>Approved Depreciation Rate-Services</t>
  </si>
  <si>
    <t>Return on Average Net Qualified Investment</t>
  </si>
  <si>
    <t>Equity - Cost of Capital, inclusive of Income Tax Gross-up</t>
  </si>
  <si>
    <t>Debt - Cost of Capital</t>
  </si>
  <si>
    <t>Equity Component - inclusive of Income Tax Gross-up</t>
  </si>
  <si>
    <t>Debt Component</t>
  </si>
  <si>
    <t>Return Requirement</t>
  </si>
  <si>
    <t>formula - sum</t>
  </si>
  <si>
    <t>Investment Expenses</t>
  </si>
  <si>
    <t>Depreciation Expense - Mains</t>
  </si>
  <si>
    <t>formula - round to 2</t>
  </si>
  <si>
    <t>Depreciation Expense - Services</t>
  </si>
  <si>
    <t>Property Taxes</t>
  </si>
  <si>
    <t>Customer Notice Expense - 709</t>
  </si>
  <si>
    <t>General Public Notice Expense - Advertising 702</t>
  </si>
  <si>
    <t>Total Expense</t>
  </si>
  <si>
    <t>Total Revenue Requirements</t>
  </si>
  <si>
    <t>Embedded Revenue for Bare Steel Replacement Investment</t>
  </si>
  <si>
    <t>Hard key</t>
  </si>
  <si>
    <t>Net Revenue Requirements</t>
  </si>
  <si>
    <t>GRIP Surcharge Revenues Collected Month</t>
  </si>
  <si>
    <t>Tax Factor</t>
  </si>
  <si>
    <t xml:space="preserve">Net GRIP Surcharge Revenue Collected </t>
  </si>
  <si>
    <t>(Over) and Under Recovery for the Month</t>
  </si>
  <si>
    <t>Monthly Interest Expense/(Income)</t>
  </si>
  <si>
    <t>Adjustments for Rate Changes</t>
  </si>
  <si>
    <t>Ending (Over) and Under Recovery</t>
  </si>
  <si>
    <t xml:space="preserve">GL Balance </t>
  </si>
  <si>
    <t>Difference</t>
  </si>
  <si>
    <t>Beg of Month Annual Interest Rate</t>
  </si>
  <si>
    <t>End of Month Annual Interest Rate</t>
  </si>
  <si>
    <t>Average Monthly Interest Rate</t>
  </si>
  <si>
    <t/>
  </si>
  <si>
    <t>Reclass to FN00-00000-1609-186G</t>
  </si>
  <si>
    <t>FN_______260_253G</t>
  </si>
  <si>
    <t>Add Epicor GL Balances in Screenshot</t>
  </si>
  <si>
    <t>Difference/Check - Should be Zero</t>
  </si>
  <si>
    <t>sfd</t>
  </si>
  <si>
    <t>Balance sheet reclass</t>
  </si>
  <si>
    <t>GRIP REVISED FOR CAPITAL PROJECT CLOSINGS HELD FOR POWER PLAN</t>
  </si>
  <si>
    <t>2020 Revised 12/8/2020</t>
  </si>
  <si>
    <t>January 01, 2020 through December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</si>
</sst>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%"/>
    <numFmt numFmtId="167" formatCode="_(* #,##0.00000_);_(* \(#,##0.00000\);_(* &quot;-&quot;??_);_(@_)"/>
    <numFmt numFmtId="168" formatCode="_(&quot;$&quot;* #,##0.00_);_(&quot;$&quot;* \(#,##0.00\);_(&quot;$&quot;* &quot;-&quot;_);_(@_)"/>
    <numFmt numFmtId="169" formatCode="0.000%"/>
    <numFmt numFmtId="170" formatCode="#,##0.00;[Red]\-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Fill="1" applyProtection="1"/>
    <xf numFmtId="0" fontId="0" fillId="0" borderId="0" xfId="0" applyNumberFormat="1" applyFill="1" applyProtection="1"/>
    <xf numFmtId="0" fontId="4" fillId="0" borderId="0" xfId="0" applyFont="1" applyFill="1" applyProtection="1"/>
    <xf numFmtId="5" fontId="0" fillId="0" borderId="0" xfId="0" applyNumberFormat="1" applyFill="1" applyProtection="1"/>
    <xf numFmtId="7" fontId="0" fillId="0" borderId="0" xfId="0" applyNumberFormat="1" applyFill="1" applyProtection="1"/>
    <xf numFmtId="0" fontId="9" fillId="0" borderId="0" xfId="0" applyFont="1" applyFill="1" applyAlignment="1" applyProtection="1">
      <alignment horizontal="center"/>
    </xf>
    <xf numFmtId="5" fontId="10" fillId="0" borderId="0" xfId="0" applyNumberFormat="1" applyFont="1" applyFill="1" applyProtection="1"/>
    <xf numFmtId="5" fontId="0" fillId="0" borderId="0" xfId="0" applyNumberFormat="1" applyFill="1" applyBorder="1" applyProtection="1"/>
    <xf numFmtId="5" fontId="0" fillId="0" borderId="2" xfId="0" applyNumberFormat="1" applyFill="1" applyBorder="1" applyProtection="1"/>
    <xf numFmtId="5" fontId="0" fillId="0" borderId="3" xfId="0" applyNumberFormat="1" applyFill="1" applyBorder="1" applyProtection="1"/>
    <xf numFmtId="166" fontId="0" fillId="0" borderId="0" xfId="0" applyNumberFormat="1" applyFill="1" applyProtection="1"/>
    <xf numFmtId="167" fontId="11" fillId="0" borderId="0" xfId="1" applyNumberFormat="1" applyFont="1" applyFill="1" applyBorder="1" applyProtection="1"/>
    <xf numFmtId="7" fontId="0" fillId="0" borderId="0" xfId="0" applyNumberFormat="1" applyFill="1" applyBorder="1" applyProtection="1"/>
    <xf numFmtId="44" fontId="0" fillId="0" borderId="0" xfId="2" applyFont="1" applyFill="1" applyBorder="1" applyProtection="1"/>
    <xf numFmtId="168" fontId="0" fillId="0" borderId="0" xfId="0" applyNumberFormat="1" applyFill="1" applyBorder="1" applyProtection="1"/>
    <xf numFmtId="0" fontId="0" fillId="0" borderId="0" xfId="0" applyFill="1" applyAlignment="1" applyProtection="1">
      <alignment horizontal="right"/>
    </xf>
    <xf numFmtId="43" fontId="10" fillId="0" borderId="0" xfId="1" applyFont="1" applyFill="1" applyProtection="1">
      <protection locked="0"/>
    </xf>
    <xf numFmtId="43" fontId="0" fillId="0" borderId="0" xfId="1" applyFont="1" applyFill="1" applyProtection="1"/>
    <xf numFmtId="43" fontId="0" fillId="0" borderId="0" xfId="0" applyNumberFormat="1" applyFill="1" applyProtection="1"/>
    <xf numFmtId="43" fontId="3" fillId="0" borderId="0" xfId="1" applyFont="1" applyFill="1" applyProtection="1"/>
    <xf numFmtId="10" fontId="11" fillId="0" borderId="0" xfId="0" applyNumberFormat="1" applyFont="1" applyFill="1" applyProtection="1"/>
    <xf numFmtId="0" fontId="3" fillId="0" borderId="0" xfId="0" applyFont="1" applyFill="1" applyAlignment="1" applyProtection="1">
      <alignment horizontal="right"/>
    </xf>
    <xf numFmtId="43" fontId="3" fillId="0" borderId="0" xfId="0" applyNumberFormat="1" applyFont="1" applyFill="1" applyProtection="1"/>
    <xf numFmtId="7" fontId="0" fillId="0" borderId="5" xfId="0" applyNumberFormat="1" applyFill="1" applyBorder="1" applyProtection="1"/>
    <xf numFmtId="43" fontId="0" fillId="0" borderId="0" xfId="1" applyFont="1" applyFill="1" applyBorder="1" applyProtection="1"/>
    <xf numFmtId="7" fontId="0" fillId="0" borderId="3" xfId="0" applyNumberFormat="1" applyFill="1" applyBorder="1" applyProtection="1"/>
    <xf numFmtId="7" fontId="0" fillId="0" borderId="0" xfId="1" applyNumberFormat="1" applyFont="1" applyFill="1" applyProtection="1"/>
    <xf numFmtId="44" fontId="0" fillId="0" borderId="0" xfId="2" applyFont="1" applyFill="1" applyProtection="1"/>
    <xf numFmtId="44" fontId="0" fillId="0" borderId="0" xfId="0" applyNumberFormat="1" applyFill="1" applyProtection="1"/>
    <xf numFmtId="0" fontId="0" fillId="0" borderId="0" xfId="0" applyProtection="1"/>
    <xf numFmtId="0" fontId="0" fillId="0" borderId="0" xfId="0" applyNumberFormat="1" applyProtection="1"/>
    <xf numFmtId="6" fontId="0" fillId="0" borderId="0" xfId="0" applyNumberFormat="1" applyProtection="1"/>
    <xf numFmtId="0" fontId="4" fillId="0" borderId="0" xfId="0" applyFont="1" applyProtection="1"/>
    <xf numFmtId="0" fontId="3" fillId="2" borderId="0" xfId="0" applyFont="1" applyFill="1" applyProtection="1"/>
    <xf numFmtId="0" fontId="0" fillId="2" borderId="0" xfId="0" applyFill="1" applyProtection="1"/>
    <xf numFmtId="5" fontId="0" fillId="0" borderId="0" xfId="0" applyNumberFormat="1" applyProtection="1"/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3" borderId="0" xfId="0" applyFont="1" applyFill="1" applyProtection="1"/>
    <xf numFmtId="0" fontId="0" fillId="3" borderId="0" xfId="0" applyFill="1" applyProtection="1"/>
    <xf numFmtId="7" fontId="0" fillId="0" borderId="0" xfId="0" applyNumberFormat="1" applyProtection="1"/>
    <xf numFmtId="0" fontId="6" fillId="0" borderId="0" xfId="0" applyFont="1" applyAlignment="1" applyProtection="1">
      <alignment horizontal="left"/>
    </xf>
    <xf numFmtId="6" fontId="0" fillId="4" borderId="0" xfId="0" applyNumberFormat="1" applyFill="1" applyProtection="1"/>
    <xf numFmtId="41" fontId="3" fillId="0" borderId="0" xfId="0" applyNumberFormat="1" applyFont="1" applyProtection="1"/>
    <xf numFmtId="0" fontId="3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43" fontId="2" fillId="0" borderId="0" xfId="1" applyFont="1" applyProtection="1"/>
    <xf numFmtId="0" fontId="8" fillId="0" borderId="0" xfId="0" applyFont="1" applyProtection="1"/>
    <xf numFmtId="0" fontId="9" fillId="0" borderId="0" xfId="0" applyFont="1" applyAlignment="1" applyProtection="1">
      <alignment horizontal="center"/>
    </xf>
    <xf numFmtId="5" fontId="10" fillId="5" borderId="0" xfId="0" applyNumberFormat="1" applyFont="1" applyFill="1" applyProtection="1"/>
    <xf numFmtId="5" fontId="10" fillId="3" borderId="0" xfId="0" applyNumberFormat="1" applyFont="1" applyFill="1" applyProtection="1">
      <protection locked="0"/>
    </xf>
    <xf numFmtId="5" fontId="10" fillId="5" borderId="0" xfId="0" applyNumberFormat="1" applyFont="1" applyFill="1" applyProtection="1">
      <protection locked="0"/>
    </xf>
    <xf numFmtId="5" fontId="0" fillId="5" borderId="0" xfId="0" applyNumberFormat="1" applyFill="1" applyProtection="1"/>
    <xf numFmtId="5" fontId="10" fillId="5" borderId="0" xfId="0" applyNumberFormat="1" applyFont="1" applyFill="1" applyBorder="1" applyProtection="1"/>
    <xf numFmtId="164" fontId="0" fillId="0" borderId="0" xfId="2" applyNumberFormat="1" applyFont="1" applyBorder="1" applyProtection="1"/>
    <xf numFmtId="5" fontId="0" fillId="0" borderId="0" xfId="0" applyNumberFormat="1" applyBorder="1" applyProtection="1"/>
    <xf numFmtId="165" fontId="0" fillId="0" borderId="0" xfId="1" applyNumberFormat="1" applyFont="1" applyBorder="1" applyProtection="1"/>
    <xf numFmtId="0" fontId="0" fillId="0" borderId="0" xfId="0" applyBorder="1" applyProtection="1"/>
    <xf numFmtId="5" fontId="10" fillId="3" borderId="0" xfId="0" applyNumberFormat="1" applyFont="1" applyFill="1" applyProtection="1"/>
    <xf numFmtId="0" fontId="0" fillId="0" borderId="0" xfId="3" applyNumberFormat="1" applyFont="1" applyBorder="1" applyProtection="1"/>
    <xf numFmtId="5" fontId="10" fillId="5" borderId="1" xfId="0" applyNumberFormat="1" applyFont="1" applyFill="1" applyBorder="1" applyProtection="1"/>
    <xf numFmtId="5" fontId="0" fillId="0" borderId="1" xfId="0" applyNumberFormat="1" applyBorder="1" applyProtection="1"/>
    <xf numFmtId="5" fontId="0" fillId="0" borderId="2" xfId="0" applyNumberFormat="1" applyBorder="1" applyProtection="1"/>
    <xf numFmtId="5" fontId="10" fillId="0" borderId="0" xfId="0" applyNumberFormat="1" applyFont="1" applyProtection="1"/>
    <xf numFmtId="5" fontId="0" fillId="0" borderId="3" xfId="0" applyNumberFormat="1" applyBorder="1" applyProtection="1"/>
    <xf numFmtId="5" fontId="0" fillId="0" borderId="4" xfId="0" applyNumberFormat="1" applyBorder="1" applyProtection="1"/>
    <xf numFmtId="42" fontId="0" fillId="0" borderId="0" xfId="0" applyNumberFormat="1" applyBorder="1" applyProtection="1"/>
    <xf numFmtId="0" fontId="0" fillId="5" borderId="0" xfId="0" applyNumberFormat="1" applyFill="1" applyProtection="1"/>
    <xf numFmtId="166" fontId="1" fillId="5" borderId="0" xfId="3" applyNumberFormat="1" applyFont="1" applyFill="1" applyAlignment="1" applyProtection="1">
      <alignment horizontal="right"/>
    </xf>
    <xf numFmtId="166" fontId="0" fillId="0" borderId="0" xfId="0" applyNumberFormat="1" applyProtection="1"/>
    <xf numFmtId="5" fontId="10" fillId="5" borderId="0" xfId="0" applyNumberFormat="1" applyFont="1" applyFill="1" applyBorder="1" applyProtection="1">
      <protection locked="0"/>
    </xf>
    <xf numFmtId="41" fontId="0" fillId="0" borderId="0" xfId="0" applyNumberFormat="1" applyProtection="1"/>
    <xf numFmtId="0" fontId="0" fillId="6" borderId="0" xfId="0" applyFill="1" applyProtection="1"/>
    <xf numFmtId="5" fontId="0" fillId="6" borderId="0" xfId="0" applyNumberFormat="1" applyFill="1" applyProtection="1"/>
    <xf numFmtId="42" fontId="10" fillId="5" borderId="0" xfId="0" applyNumberFormat="1" applyFont="1" applyFill="1" applyBorder="1" applyProtection="1">
      <protection locked="0"/>
    </xf>
    <xf numFmtId="42" fontId="0" fillId="0" borderId="0" xfId="0" applyNumberFormat="1" applyProtection="1"/>
    <xf numFmtId="167" fontId="1" fillId="0" borderId="0" xfId="1" applyNumberFormat="1" applyFont="1" applyProtection="1"/>
    <xf numFmtId="42" fontId="0" fillId="0" borderId="3" xfId="0" applyNumberFormat="1" applyBorder="1" applyProtection="1"/>
    <xf numFmtId="7" fontId="10" fillId="5" borderId="0" xfId="0" applyNumberFormat="1" applyFont="1" applyFill="1" applyProtection="1"/>
    <xf numFmtId="7" fontId="0" fillId="0" borderId="0" xfId="0" applyNumberFormat="1" applyBorder="1" applyProtection="1"/>
    <xf numFmtId="168" fontId="0" fillId="0" borderId="0" xfId="0" applyNumberFormat="1" applyBorder="1" applyProtection="1"/>
    <xf numFmtId="7" fontId="11" fillId="0" borderId="3" xfId="0" applyNumberFormat="1" applyFont="1" applyFill="1" applyBorder="1" applyProtection="1"/>
    <xf numFmtId="7" fontId="0" fillId="0" borderId="3" xfId="0" applyNumberFormat="1" applyBorder="1" applyProtection="1"/>
    <xf numFmtId="0" fontId="0" fillId="0" borderId="0" xfId="0" applyAlignment="1" applyProtection="1">
      <alignment horizontal="right"/>
    </xf>
    <xf numFmtId="43" fontId="10" fillId="0" borderId="0" xfId="1" applyFont="1" applyProtection="1"/>
    <xf numFmtId="43" fontId="10" fillId="0" borderId="0" xfId="1" applyFont="1" applyProtection="1">
      <protection locked="0"/>
    </xf>
    <xf numFmtId="43" fontId="10" fillId="2" borderId="0" xfId="1" applyFont="1" applyFill="1" applyProtection="1">
      <protection locked="0"/>
    </xf>
    <xf numFmtId="43" fontId="0" fillId="0" borderId="0" xfId="1" applyFont="1" applyProtection="1"/>
    <xf numFmtId="43" fontId="0" fillId="0" borderId="0" xfId="0" applyNumberFormat="1" applyProtection="1"/>
    <xf numFmtId="10" fontId="10" fillId="5" borderId="0" xfId="0" applyNumberFormat="1" applyFont="1" applyFill="1" applyProtection="1">
      <protection locked="0"/>
    </xf>
    <xf numFmtId="169" fontId="0" fillId="0" borderId="0" xfId="0" applyNumberFormat="1" applyProtection="1"/>
    <xf numFmtId="165" fontId="0" fillId="0" borderId="0" xfId="1" applyNumberFormat="1" applyFont="1" applyProtection="1"/>
    <xf numFmtId="0" fontId="3" fillId="0" borderId="0" xfId="0" applyFont="1" applyAlignment="1" applyProtection="1">
      <alignment horizontal="right"/>
    </xf>
    <xf numFmtId="7" fontId="0" fillId="0" borderId="5" xfId="0" applyNumberFormat="1" applyBorder="1" applyProtection="1"/>
    <xf numFmtId="43" fontId="0" fillId="0" borderId="0" xfId="1" applyFont="1" applyBorder="1" applyProtection="1"/>
    <xf numFmtId="7" fontId="3" fillId="0" borderId="0" xfId="0" applyNumberFormat="1" applyFont="1" applyProtection="1"/>
    <xf numFmtId="0" fontId="0" fillId="0" borderId="0" xfId="0" applyProtection="1">
      <protection locked="0"/>
    </xf>
    <xf numFmtId="7" fontId="0" fillId="0" borderId="0" xfId="0" applyNumberFormat="1" applyProtection="1">
      <protection locked="0"/>
    </xf>
    <xf numFmtId="43" fontId="0" fillId="5" borderId="0" xfId="1" applyFont="1" applyFill="1" applyProtection="1">
      <protection locked="0"/>
    </xf>
    <xf numFmtId="43" fontId="0" fillId="2" borderId="3" xfId="1" applyFont="1" applyFill="1" applyBorder="1" applyProtection="1">
      <protection locked="0"/>
    </xf>
    <xf numFmtId="0" fontId="0" fillId="5" borderId="0" xfId="0" applyFill="1" applyProtection="1">
      <protection locked="0"/>
    </xf>
    <xf numFmtId="170" fontId="0" fillId="0" borderId="0" xfId="0" applyNumberFormat="1"/>
    <xf numFmtId="0" fontId="0" fillId="0" borderId="0" xfId="0" applyAlignment="1" applyProtection="1">
      <alignment horizontal="right"/>
      <protection locked="0"/>
    </xf>
    <xf numFmtId="43" fontId="3" fillId="0" borderId="0" xfId="1" applyFont="1" applyProtection="1">
      <protection locked="0"/>
    </xf>
    <xf numFmtId="0" fontId="3" fillId="0" borderId="0" xfId="0" applyFont="1" applyProtection="1"/>
    <xf numFmtId="0" fontId="7" fillId="0" borderId="0" xfId="0" applyFont="1" applyProtection="1"/>
    <xf numFmtId="7" fontId="0" fillId="2" borderId="0" xfId="0" applyNumberFormat="1" applyFill="1" applyBorder="1" applyProtection="1"/>
    <xf numFmtId="168" fontId="0" fillId="2" borderId="0" xfId="0" applyNumberFormat="1" applyFill="1" applyBorder="1" applyProtection="1"/>
    <xf numFmtId="7" fontId="0" fillId="2" borderId="3" xfId="0" applyNumberFormat="1" applyFill="1" applyBorder="1" applyProtection="1"/>
    <xf numFmtId="43" fontId="0" fillId="3" borderId="0" xfId="1" applyFont="1" applyFill="1" applyProtection="1"/>
    <xf numFmtId="10" fontId="10" fillId="5" borderId="0" xfId="0" applyNumberFormat="1" applyFont="1" applyFill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1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imanage.xml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3</xdr:col>
      <xdr:colOff>629442</xdr:colOff>
      <xdr:row>110</xdr:row>
      <xdr:rowOff>26073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30400"/>
          <a:ext cx="5677692" cy="48171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31750</xdr:rowOff>
    </xdr:from>
    <xdr:to>
      <xdr:col>3</xdr:col>
      <xdr:colOff>686600</xdr:colOff>
      <xdr:row>135</xdr:row>
      <xdr:rowOff>39828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453225"/>
          <a:ext cx="5734850" cy="4789628"/>
        </a:xfrm>
        <a:prstGeom prst="rect">
          <a:avLst/>
        </a:prstGeom>
      </xdr:spPr>
    </xdr:pic>
    <xdr:clientData/>
  </xdr:twoCellAnchor>
  <xdr:twoCellAnchor editAs="oneCell">
    <xdr:from>
      <xdr:col>9</xdr:col>
      <xdr:colOff>1121833</xdr:colOff>
      <xdr:row>74</xdr:row>
      <xdr:rowOff>105833</xdr:rowOff>
    </xdr:from>
    <xdr:to>
      <xdr:col>14</xdr:col>
      <xdr:colOff>1069714</xdr:colOff>
      <xdr:row>109</xdr:row>
      <xdr:rowOff>74748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13808" y="14545733"/>
          <a:ext cx="5710506" cy="4759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4</xdr:col>
      <xdr:colOff>1085809</xdr:colOff>
      <xdr:row>109</xdr:row>
      <xdr:rowOff>92730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30400"/>
          <a:ext cx="7286584" cy="46933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counting\Florida%20Public%20Utilities\Natural%20Gas\Journal%20Entries\FNG\2020\12-2020\GRIP\Dec%202020%20_FN-GRIP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eadsheet Change Management"/>
      <sheetName val="2020 RevEquity&amp;Debt Rate&amp;PP Oct"/>
      <sheetName val="Support"/>
      <sheetName val="2020 Rev Equity&amp;Debt Rate&amp;PP"/>
      <sheetName val="2020 Rev Equity&amp;Debt Rate 0420"/>
      <sheetName val="2020"/>
      <sheetName val="2020 Old Depr Rates DO NOT USE"/>
      <sheetName val="Summary of GRIP Changes 2019"/>
      <sheetName val="2019 Rev Equity&amp;Depr Rate # (2"/>
      <sheetName val="2019 Rev Equity&amp;Depr Rate #2 "/>
      <sheetName val="2019 Rev Equity &amp; Depr Rate"/>
      <sheetName val="2019 Rev Equity Rate"/>
      <sheetName val="2019"/>
      <sheetName val="2018 Rev Equity Rate"/>
      <sheetName val="2018"/>
      <sheetName val="2017"/>
      <sheetName val="2016"/>
      <sheetName val="2016 Original"/>
      <sheetName val="2015"/>
      <sheetName val="2014 Revised_DepRate"/>
      <sheetName val="2013 Revised"/>
      <sheetName val="2012 Revised"/>
      <sheetName val="2014 Revis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">
          <cell r="P9">
            <v>10425390.91</v>
          </cell>
        </row>
        <row r="10">
          <cell r="P10">
            <v>-9582054.1999999993</v>
          </cell>
        </row>
        <row r="11">
          <cell r="P11">
            <v>3801660.4299999997</v>
          </cell>
        </row>
        <row r="12">
          <cell r="P12">
            <v>-3801660.398</v>
          </cell>
        </row>
        <row r="13">
          <cell r="P13">
            <v>9582054.1999999993</v>
          </cell>
        </row>
        <row r="14">
          <cell r="P14">
            <v>3801660.398</v>
          </cell>
        </row>
        <row r="17">
          <cell r="P17">
            <v>843337</v>
          </cell>
        </row>
        <row r="18">
          <cell r="P18">
            <v>3.1999999977870175E-2</v>
          </cell>
        </row>
        <row r="19">
          <cell r="P19">
            <v>9582054.1999999993</v>
          </cell>
        </row>
        <row r="20">
          <cell r="P20">
            <v>3801660.398</v>
          </cell>
        </row>
        <row r="21">
          <cell r="P21">
            <v>14227051.339999998</v>
          </cell>
        </row>
        <row r="23">
          <cell r="P23">
            <v>-94402.466449666652</v>
          </cell>
        </row>
        <row r="24">
          <cell r="P24">
            <v>14132648.873550331</v>
          </cell>
        </row>
        <row r="36">
          <cell r="P36">
            <v>550881.63992333331</v>
          </cell>
        </row>
        <row r="37">
          <cell r="P37">
            <v>145668.86316666665</v>
          </cell>
        </row>
        <row r="38">
          <cell r="P38">
            <v>696550.50309000001</v>
          </cell>
        </row>
        <row r="41">
          <cell r="P41">
            <v>60328.131416666671</v>
          </cell>
        </row>
        <row r="42">
          <cell r="P42">
            <v>33207.335033000003</v>
          </cell>
        </row>
        <row r="43">
          <cell r="P43">
            <v>32679.122000000003</v>
          </cell>
        </row>
        <row r="44">
          <cell r="P44">
            <v>1640.79</v>
          </cell>
        </row>
        <row r="45">
          <cell r="P45">
            <v>5380.98</v>
          </cell>
        </row>
        <row r="46">
          <cell r="P46"/>
        </row>
        <row r="48">
          <cell r="P48"/>
        </row>
        <row r="50">
          <cell r="P50"/>
        </row>
        <row r="51">
          <cell r="P51">
            <v>747727</v>
          </cell>
        </row>
        <row r="53">
          <cell r="P53"/>
        </row>
        <row r="57">
          <cell r="P57">
            <v>-175578</v>
          </cell>
        </row>
        <row r="58">
          <cell r="P58">
            <v>-406</v>
          </cell>
        </row>
        <row r="59">
          <cell r="P59">
            <v>-419678.97</v>
          </cell>
        </row>
      </sheetData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2:T161"/>
  <sheetViews>
    <sheetView tabSelected="1" topLeftCell="A7" zoomScale="90" zoomScaleNormal="90" workbookViewId="0">
      <pane xSplit="3" ySplit="9" topLeftCell="J52" activePane="bottomRight" state="frozen"/>
      <selection activeCell="O65" sqref="O65"/>
      <selection pane="topRight" activeCell="O65" sqref="O65"/>
      <selection pane="bottomLeft" activeCell="O65" sqref="O65"/>
      <selection pane="bottomRight" activeCell="T37" sqref="T37"/>
    </sheetView>
  </sheetViews>
  <sheetFormatPr defaultColWidth="9.140625" defaultRowHeight="15" x14ac:dyDescent="0.25"/>
  <cols>
    <col min="1" max="1" width="8.7109375" style="30" customWidth="1"/>
    <col min="2" max="2" width="51.85546875" style="30" customWidth="1"/>
    <col min="3" max="3" width="15.140625" style="30" bestFit="1" customWidth="1"/>
    <col min="4" max="6" width="17.28515625" style="30" customWidth="1"/>
    <col min="7" max="7" width="17.7109375" style="30" customWidth="1"/>
    <col min="8" max="15" width="17.28515625" style="30" customWidth="1"/>
    <col min="16" max="16" width="15" style="30" bestFit="1" customWidth="1"/>
    <col min="17" max="17" width="9.140625" style="30"/>
    <col min="18" max="18" width="16.28515625" style="30" bestFit="1" customWidth="1"/>
    <col min="19" max="19" width="13.7109375" style="30" customWidth="1"/>
    <col min="20" max="20" width="9.140625" style="30" customWidth="1"/>
    <col min="21" max="16384" width="9.140625" style="30"/>
  </cols>
  <sheetData>
    <row r="2" spans="1:19" x14ac:dyDescent="0.25">
      <c r="H2" s="31"/>
    </row>
    <row r="3" spans="1:19" x14ac:dyDescent="0.25">
      <c r="H3" s="31"/>
    </row>
    <row r="4" spans="1:19" x14ac:dyDescent="0.25">
      <c r="H4" s="31"/>
    </row>
    <row r="6" spans="1:19" x14ac:dyDescent="0.25">
      <c r="H6" s="32"/>
    </row>
    <row r="7" spans="1:19" ht="18.75" x14ac:dyDescent="0.3">
      <c r="D7" s="33" t="s">
        <v>0</v>
      </c>
      <c r="E7" s="3"/>
      <c r="F7" s="3"/>
      <c r="G7" s="3"/>
      <c r="H7" s="2"/>
    </row>
    <row r="8" spans="1:19" x14ac:dyDescent="0.25">
      <c r="D8" s="34" t="s">
        <v>1</v>
      </c>
      <c r="E8" s="35"/>
      <c r="F8" s="1"/>
      <c r="G8" s="4"/>
      <c r="H8" s="36"/>
    </row>
    <row r="9" spans="1:19" ht="18.75" x14ac:dyDescent="0.3">
      <c r="B9" s="37" t="s">
        <v>2</v>
      </c>
      <c r="D9" s="36"/>
      <c r="E9" s="36"/>
      <c r="F9" s="36"/>
      <c r="I9" s="36"/>
      <c r="N9" s="30" t="s">
        <v>3</v>
      </c>
    </row>
    <row r="10" spans="1:19" ht="21" x14ac:dyDescent="0.35">
      <c r="B10" s="38" t="s">
        <v>4</v>
      </c>
      <c r="D10" s="39" t="s">
        <v>5</v>
      </c>
      <c r="E10" s="40"/>
      <c r="N10" s="30" t="s">
        <v>6</v>
      </c>
    </row>
    <row r="11" spans="1:19" x14ac:dyDescent="0.25">
      <c r="B11" s="38" t="s">
        <v>7</v>
      </c>
      <c r="D11" s="41"/>
      <c r="N11" s="30" t="s">
        <v>8</v>
      </c>
    </row>
    <row r="12" spans="1:19" x14ac:dyDescent="0.25">
      <c r="B12" s="38" t="s">
        <v>9</v>
      </c>
      <c r="D12" s="36"/>
      <c r="E12" s="36"/>
      <c r="F12" s="36"/>
      <c r="G12" s="36"/>
      <c r="H12" s="36"/>
      <c r="I12" s="36"/>
      <c r="J12" s="36"/>
    </row>
    <row r="13" spans="1:19" x14ac:dyDescent="0.25">
      <c r="B13" s="42" t="s">
        <v>10</v>
      </c>
      <c r="C13" s="30" t="s">
        <v>11</v>
      </c>
      <c r="D13" s="43">
        <v>-462948.21</v>
      </c>
      <c r="E13" s="43" t="s">
        <v>84</v>
      </c>
      <c r="F13" s="43">
        <v>-6.3599999998696148</v>
      </c>
      <c r="G13" s="43" t="s">
        <v>84</v>
      </c>
      <c r="H13" s="43" t="s">
        <v>84</v>
      </c>
      <c r="I13" s="43" t="s">
        <v>84</v>
      </c>
      <c r="J13" s="43">
        <v>104.36999999999534</v>
      </c>
      <c r="K13" s="43" t="s">
        <v>84</v>
      </c>
      <c r="L13" s="43" t="s">
        <v>84</v>
      </c>
      <c r="M13" s="43" t="s">
        <v>84</v>
      </c>
      <c r="N13" s="43" t="s">
        <v>84</v>
      </c>
      <c r="O13" s="43">
        <v>-4.5799999999799184</v>
      </c>
    </row>
    <row r="14" spans="1:19" x14ac:dyDescent="0.25">
      <c r="A14" s="44"/>
      <c r="B14" s="45"/>
      <c r="C14" s="46" t="s">
        <v>12</v>
      </c>
      <c r="M14" s="47"/>
      <c r="P14" s="46" t="s">
        <v>13</v>
      </c>
      <c r="S14" s="30" t="s">
        <v>13</v>
      </c>
    </row>
    <row r="15" spans="1:19" x14ac:dyDescent="0.25">
      <c r="A15" s="48" t="s">
        <v>14</v>
      </c>
      <c r="C15" s="49" t="s">
        <v>15</v>
      </c>
      <c r="D15" s="49" t="s">
        <v>16</v>
      </c>
      <c r="E15" s="6" t="s">
        <v>17</v>
      </c>
      <c r="F15" s="6" t="s">
        <v>18</v>
      </c>
      <c r="G15" s="49" t="s">
        <v>19</v>
      </c>
      <c r="H15" s="49" t="s">
        <v>20</v>
      </c>
      <c r="I15" s="49" t="s">
        <v>21</v>
      </c>
      <c r="J15" s="49" t="s">
        <v>22</v>
      </c>
      <c r="K15" s="49" t="s">
        <v>23</v>
      </c>
      <c r="L15" s="6" t="s">
        <v>24</v>
      </c>
      <c r="M15" s="6" t="s">
        <v>25</v>
      </c>
      <c r="N15" s="6" t="s">
        <v>26</v>
      </c>
      <c r="O15" s="49" t="s">
        <v>27</v>
      </c>
      <c r="P15" s="49" t="s">
        <v>28</v>
      </c>
      <c r="S15" s="30" t="s">
        <v>28</v>
      </c>
    </row>
    <row r="16" spans="1:19" x14ac:dyDescent="0.25">
      <c r="A16" s="30" t="s">
        <v>29</v>
      </c>
    </row>
    <row r="17" spans="2:20" x14ac:dyDescent="0.25">
      <c r="B17" s="30" t="s">
        <v>30</v>
      </c>
      <c r="C17" s="50">
        <v>91527100.469999999</v>
      </c>
      <c r="D17" s="51">
        <v>393200.7300000001</v>
      </c>
      <c r="E17" s="52">
        <v>927550.26</v>
      </c>
      <c r="F17" s="52">
        <v>2641468.6300000004</v>
      </c>
      <c r="G17" s="52">
        <v>987672.7</v>
      </c>
      <c r="H17" s="52">
        <v>1135798.48</v>
      </c>
      <c r="I17" s="52">
        <v>1065600.07</v>
      </c>
      <c r="J17" s="52">
        <v>1224145.02</v>
      </c>
      <c r="K17" s="52">
        <v>865033.48</v>
      </c>
      <c r="L17" s="52">
        <v>1214948.0699999996</v>
      </c>
      <c r="M17" s="52">
        <v>873371.42</v>
      </c>
      <c r="N17" s="52">
        <v>1680282.1</v>
      </c>
      <c r="O17" s="52">
        <v>1040060.1399999999</v>
      </c>
      <c r="P17" s="53">
        <v>105576231.56999999</v>
      </c>
      <c r="Q17" s="30" t="s">
        <v>31</v>
      </c>
      <c r="S17" s="36">
        <v>10425390.91</v>
      </c>
      <c r="T17" s="36">
        <v>-81101709.560000002</v>
      </c>
    </row>
    <row r="18" spans="2:20" x14ac:dyDescent="0.25">
      <c r="B18" s="30" t="s">
        <v>32</v>
      </c>
      <c r="C18" s="50">
        <v>-89609177.440000042</v>
      </c>
      <c r="D18" s="4">
        <v>-258832.89</v>
      </c>
      <c r="E18" s="4">
        <v>-365207.96</v>
      </c>
      <c r="F18" s="4">
        <v>-834282.81</v>
      </c>
      <c r="G18" s="4">
        <v>-50268.14</v>
      </c>
      <c r="H18" s="4">
        <v>-63741.33</v>
      </c>
      <c r="I18" s="4">
        <v>-1571531.13</v>
      </c>
      <c r="J18" s="4">
        <v>-227251.16</v>
      </c>
      <c r="K18" s="4">
        <v>-3171075.47</v>
      </c>
      <c r="L18" s="4">
        <v>-149662.37</v>
      </c>
      <c r="M18" s="4">
        <v>-74738.11</v>
      </c>
      <c r="N18" s="4">
        <v>-447594.33</v>
      </c>
      <c r="O18" s="4">
        <v>-6529818.1100000003</v>
      </c>
      <c r="P18" s="36">
        <v>-103353181.25000003</v>
      </c>
      <c r="Q18" s="30" t="s">
        <v>33</v>
      </c>
      <c r="S18" s="36">
        <v>-9582054.1999999993</v>
      </c>
      <c r="T18" s="36">
        <v>80027123.240000039</v>
      </c>
    </row>
    <row r="19" spans="2:20" x14ac:dyDescent="0.25">
      <c r="B19" s="30" t="s">
        <v>34</v>
      </c>
      <c r="C19" s="54">
        <v>33772651.329999998</v>
      </c>
      <c r="D19" s="51">
        <v>-112371.44</v>
      </c>
      <c r="E19" s="52">
        <v>602390.44999999995</v>
      </c>
      <c r="F19" s="52">
        <v>1794909.36</v>
      </c>
      <c r="G19" s="52">
        <v>433090.88</v>
      </c>
      <c r="H19" s="52">
        <v>566755</v>
      </c>
      <c r="I19" s="52">
        <v>529311.26</v>
      </c>
      <c r="J19" s="52">
        <v>831633.67</v>
      </c>
      <c r="K19" s="52">
        <v>650593.65</v>
      </c>
      <c r="L19" s="52">
        <v>755348.87</v>
      </c>
      <c r="M19" s="52">
        <v>272240.95</v>
      </c>
      <c r="N19" s="52">
        <v>705522.34</v>
      </c>
      <c r="O19" s="52">
        <v>59348.900000000023</v>
      </c>
      <c r="P19" s="53">
        <v>40861425.220000006</v>
      </c>
      <c r="Q19" s="30" t="s">
        <v>31</v>
      </c>
      <c r="S19" s="36">
        <v>3801660.4299999997</v>
      </c>
      <c r="T19" s="36">
        <v>-29970990.899999999</v>
      </c>
    </row>
    <row r="20" spans="2:20" x14ac:dyDescent="0.25">
      <c r="B20" s="30" t="s">
        <v>35</v>
      </c>
      <c r="C20" s="54">
        <v>-33294745.408000011</v>
      </c>
      <c r="D20" s="4">
        <v>-350576.77</v>
      </c>
      <c r="E20" s="4">
        <v>-602390.44999999995</v>
      </c>
      <c r="F20" s="4">
        <v>-1794915.72</v>
      </c>
      <c r="G20" s="4">
        <v>-433090.88</v>
      </c>
      <c r="H20" s="4">
        <v>566755</v>
      </c>
      <c r="I20" s="4">
        <v>-529311.26</v>
      </c>
      <c r="J20" s="4">
        <v>-831529.3</v>
      </c>
      <c r="K20" s="4">
        <v>-650593.65</v>
      </c>
      <c r="L20" s="4">
        <v>-755348.87</v>
      </c>
      <c r="M20" s="4">
        <v>-272240.95</v>
      </c>
      <c r="N20" s="4">
        <v>-705522.34</v>
      </c>
      <c r="O20" s="4">
        <v>-59353.48</v>
      </c>
      <c r="P20" s="36">
        <v>-39712864.078000009</v>
      </c>
      <c r="Q20" s="30" t="s">
        <v>36</v>
      </c>
      <c r="S20" s="36">
        <v>-3801660.398</v>
      </c>
      <c r="T20" s="36">
        <v>29493085.010000013</v>
      </c>
    </row>
    <row r="21" spans="2:20" x14ac:dyDescent="0.25">
      <c r="B21" s="30" t="s">
        <v>37</v>
      </c>
      <c r="C21" s="54">
        <v>89609177.440000042</v>
      </c>
      <c r="D21" s="52">
        <v>258832.89</v>
      </c>
      <c r="E21" s="52">
        <v>365207.96</v>
      </c>
      <c r="F21" s="52">
        <v>834282.81</v>
      </c>
      <c r="G21" s="52">
        <v>50268.14</v>
      </c>
      <c r="H21" s="52">
        <v>63741.33</v>
      </c>
      <c r="I21" s="52">
        <v>1571531.13</v>
      </c>
      <c r="J21" s="52">
        <v>227251.16</v>
      </c>
      <c r="K21" s="52">
        <v>3171075.47</v>
      </c>
      <c r="L21" s="52">
        <v>149662.37</v>
      </c>
      <c r="M21" s="52">
        <v>74738.11</v>
      </c>
      <c r="N21" s="52">
        <v>447594.33</v>
      </c>
      <c r="O21" s="52">
        <v>6529818.1100000003</v>
      </c>
      <c r="P21" s="36">
        <v>103353181.25000003</v>
      </c>
      <c r="Q21" s="30" t="s">
        <v>31</v>
      </c>
      <c r="R21" s="55"/>
      <c r="S21" s="36">
        <v>9582054.1999999993</v>
      </c>
      <c r="T21" s="36">
        <v>-80027123.240000039</v>
      </c>
    </row>
    <row r="22" spans="2:20" x14ac:dyDescent="0.25">
      <c r="B22" s="30" t="s">
        <v>38</v>
      </c>
      <c r="C22" s="54">
        <v>33294745.408000011</v>
      </c>
      <c r="D22" s="52">
        <v>350576.77</v>
      </c>
      <c r="E22" s="52">
        <v>602390.44999999995</v>
      </c>
      <c r="F22" s="52">
        <v>1794915.72</v>
      </c>
      <c r="G22" s="52">
        <v>433090.88</v>
      </c>
      <c r="H22" s="52">
        <v>566755</v>
      </c>
      <c r="I22" s="52">
        <v>529311.26</v>
      </c>
      <c r="J22" s="52">
        <v>831529.3</v>
      </c>
      <c r="K22" s="52">
        <v>650593.65</v>
      </c>
      <c r="L22" s="52">
        <v>755348.87</v>
      </c>
      <c r="M22" s="52">
        <v>272240.95</v>
      </c>
      <c r="N22" s="52">
        <v>705522.34</v>
      </c>
      <c r="O22" s="52">
        <v>59353.48</v>
      </c>
      <c r="P22" s="56">
        <v>40846374.078000009</v>
      </c>
      <c r="Q22" s="30" t="s">
        <v>31</v>
      </c>
      <c r="R22" s="57"/>
      <c r="S22" s="36">
        <v>3801660.398</v>
      </c>
      <c r="T22" s="36">
        <v>-29493085.010000013</v>
      </c>
    </row>
    <row r="23" spans="2:20" x14ac:dyDescent="0.25">
      <c r="C23" s="8"/>
      <c r="D23" s="4"/>
      <c r="E23" s="8"/>
      <c r="F23" s="8"/>
      <c r="G23" s="8"/>
      <c r="H23" s="8"/>
      <c r="I23" s="8"/>
      <c r="J23" s="4"/>
      <c r="K23" s="8"/>
      <c r="L23" s="8"/>
      <c r="M23" s="8"/>
      <c r="N23" s="8"/>
      <c r="O23" s="8"/>
      <c r="P23" s="56"/>
      <c r="R23" s="57"/>
      <c r="S23" s="58"/>
    </row>
    <row r="24" spans="2:20" x14ac:dyDescent="0.25">
      <c r="C24" s="8"/>
      <c r="D24" s="4"/>
      <c r="E24" s="8"/>
      <c r="F24" s="8"/>
      <c r="G24" s="8"/>
      <c r="H24" s="8"/>
      <c r="I24" s="8"/>
      <c r="J24" s="4"/>
      <c r="K24" s="8"/>
      <c r="L24" s="8"/>
      <c r="M24" s="8"/>
      <c r="N24" s="8"/>
      <c r="O24" s="8"/>
      <c r="P24" s="56"/>
      <c r="R24" s="55"/>
      <c r="S24" s="58"/>
    </row>
    <row r="25" spans="2:20" x14ac:dyDescent="0.25">
      <c r="B25" s="30" t="s">
        <v>39</v>
      </c>
      <c r="C25" s="59">
        <v>1917923.319999997</v>
      </c>
      <c r="D25" s="4">
        <v>2052291.1599999971</v>
      </c>
      <c r="E25" s="4">
        <v>2614633.4599999972</v>
      </c>
      <c r="F25" s="4">
        <v>4421819.2799999975</v>
      </c>
      <c r="G25" s="4">
        <v>5359223.8399999971</v>
      </c>
      <c r="H25" s="4">
        <v>6431280.9899999965</v>
      </c>
      <c r="I25" s="4">
        <v>5925349.9299999969</v>
      </c>
      <c r="J25" s="4">
        <v>6922243.7899999972</v>
      </c>
      <c r="K25" s="4">
        <v>4616201.799999997</v>
      </c>
      <c r="L25" s="4">
        <v>5681487.4999999963</v>
      </c>
      <c r="M25" s="4">
        <v>6480120.8099999968</v>
      </c>
      <c r="N25" s="4">
        <v>7712808.5799999963</v>
      </c>
      <c r="O25" s="4">
        <v>2223050.6099999957</v>
      </c>
      <c r="P25" s="36">
        <v>2223050.6099999957</v>
      </c>
      <c r="Q25" s="30" t="s">
        <v>40</v>
      </c>
      <c r="R25" s="55"/>
      <c r="S25" s="36">
        <v>843337</v>
      </c>
      <c r="T25" s="36">
        <v>-1074586.319999997</v>
      </c>
    </row>
    <row r="26" spans="2:20" x14ac:dyDescent="0.25">
      <c r="B26" s="30" t="s">
        <v>41</v>
      </c>
      <c r="C26" s="59">
        <v>477903.80999999971</v>
      </c>
      <c r="D26" s="56">
        <v>14955.599999999686</v>
      </c>
      <c r="E26" s="56">
        <v>14955.599999999686</v>
      </c>
      <c r="F26" s="56">
        <v>14949.239999999816</v>
      </c>
      <c r="G26" s="56">
        <v>14949.239999999816</v>
      </c>
      <c r="H26" s="56">
        <v>1148459.2399999998</v>
      </c>
      <c r="I26" s="56">
        <v>1148459.2399999998</v>
      </c>
      <c r="J26" s="56">
        <v>1148563.6099999999</v>
      </c>
      <c r="K26" s="56">
        <v>1148563.6099999999</v>
      </c>
      <c r="L26" s="56">
        <v>1148563.6099999999</v>
      </c>
      <c r="M26" s="56">
        <v>1148563.6099999999</v>
      </c>
      <c r="N26" s="56">
        <v>1148563.6099999999</v>
      </c>
      <c r="O26" s="56">
        <v>1148559.0299999998</v>
      </c>
      <c r="P26" s="36">
        <v>1148559.0299999998</v>
      </c>
      <c r="Q26" s="30" t="s">
        <v>40</v>
      </c>
      <c r="R26" s="60"/>
      <c r="S26" s="36">
        <v>3.1999999977870175E-2</v>
      </c>
      <c r="T26" s="36">
        <v>-477903.7779999997</v>
      </c>
    </row>
    <row r="27" spans="2:20" x14ac:dyDescent="0.25">
      <c r="B27" s="30" t="s">
        <v>42</v>
      </c>
      <c r="C27" s="50">
        <v>89609177.440000042</v>
      </c>
      <c r="D27" s="36">
        <v>89868010.330000043</v>
      </c>
      <c r="E27" s="36">
        <v>90233218.290000036</v>
      </c>
      <c r="F27" s="36">
        <v>91067501.100000039</v>
      </c>
      <c r="G27" s="36">
        <v>91117769.240000039</v>
      </c>
      <c r="H27" s="36">
        <v>91181510.570000038</v>
      </c>
      <c r="I27" s="36">
        <v>92753041.700000033</v>
      </c>
      <c r="J27" s="36">
        <v>92980292.860000029</v>
      </c>
      <c r="K27" s="36">
        <v>96151368.330000028</v>
      </c>
      <c r="L27" s="36">
        <v>96301030.700000033</v>
      </c>
      <c r="M27" s="36">
        <v>96375768.810000032</v>
      </c>
      <c r="N27" s="36">
        <v>96823363.14000003</v>
      </c>
      <c r="O27" s="36">
        <v>103353181.25000003</v>
      </c>
      <c r="P27" s="36">
        <v>103353181.25000003</v>
      </c>
      <c r="Q27" s="30" t="s">
        <v>40</v>
      </c>
      <c r="S27" s="36">
        <v>9582054.1999999993</v>
      </c>
      <c r="T27" s="36">
        <v>-80027123.240000039</v>
      </c>
    </row>
    <row r="28" spans="2:20" x14ac:dyDescent="0.25">
      <c r="B28" s="30" t="s">
        <v>43</v>
      </c>
      <c r="C28" s="61">
        <v>33294745.408000011</v>
      </c>
      <c r="D28" s="62">
        <v>33645322.178000011</v>
      </c>
      <c r="E28" s="62">
        <v>34247712.628000014</v>
      </c>
      <c r="F28" s="62">
        <v>36042628.348000012</v>
      </c>
      <c r="G28" s="62">
        <v>36475719.228000015</v>
      </c>
      <c r="H28" s="62">
        <v>37042474.228000015</v>
      </c>
      <c r="I28" s="62">
        <v>37571785.488000013</v>
      </c>
      <c r="J28" s="62">
        <v>38403314.78800001</v>
      </c>
      <c r="K28" s="62">
        <v>39053908.438000008</v>
      </c>
      <c r="L28" s="62">
        <v>39809257.308000006</v>
      </c>
      <c r="M28" s="62">
        <v>40081498.258000009</v>
      </c>
      <c r="N28" s="62">
        <v>40787020.598000012</v>
      </c>
      <c r="O28" s="62">
        <v>40846374.078000009</v>
      </c>
      <c r="P28" s="62">
        <v>40846374.078000009</v>
      </c>
      <c r="Q28" s="30" t="s">
        <v>40</v>
      </c>
      <c r="S28" s="36">
        <v>3801660.398</v>
      </c>
      <c r="T28" s="36">
        <v>-29493085.010000013</v>
      </c>
    </row>
    <row r="29" spans="2:20" ht="15.75" thickBot="1" x14ac:dyDescent="0.3">
      <c r="B29" s="30" t="s">
        <v>44</v>
      </c>
      <c r="C29" s="9">
        <v>125299749.97800004</v>
      </c>
      <c r="D29" s="63">
        <v>125580579.26800004</v>
      </c>
      <c r="E29" s="63">
        <v>127110519.97800004</v>
      </c>
      <c r="F29" s="63">
        <v>131546897.96800005</v>
      </c>
      <c r="G29" s="63">
        <v>132967661.54800005</v>
      </c>
      <c r="H29" s="63">
        <v>135803725.02800006</v>
      </c>
      <c r="I29" s="63">
        <v>137398636.35800004</v>
      </c>
      <c r="J29" s="63">
        <v>139454415.04800004</v>
      </c>
      <c r="K29" s="63">
        <v>140970042.17800003</v>
      </c>
      <c r="L29" s="63">
        <v>142940339.11800003</v>
      </c>
      <c r="M29" s="63">
        <v>144085951.48800004</v>
      </c>
      <c r="N29" s="63">
        <v>146471755.92800003</v>
      </c>
      <c r="O29" s="63">
        <v>147571164.96800005</v>
      </c>
      <c r="P29" s="63">
        <v>147571164.96800005</v>
      </c>
      <c r="S29" s="36">
        <v>14227051.339999998</v>
      </c>
      <c r="T29" s="36">
        <v>-111072698.63800004</v>
      </c>
    </row>
    <row r="30" spans="2:20" ht="15.75" thickTop="1" x14ac:dyDescent="0.25">
      <c r="C30" s="7"/>
      <c r="D30" s="64">
        <v>-1.4901161193847656E-8</v>
      </c>
      <c r="E30" s="64">
        <v>1.4901161193847656E-8</v>
      </c>
      <c r="F30" s="64">
        <v>1.4901161193847656E-8</v>
      </c>
      <c r="G30" s="64">
        <v>0</v>
      </c>
      <c r="H30" s="64">
        <v>0</v>
      </c>
      <c r="I30" s="64">
        <v>-2.9802322387695313E-8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4">
        <v>2.9802322387695313E-8</v>
      </c>
      <c r="P30" s="36"/>
      <c r="Q30" s="30" t="s">
        <v>45</v>
      </c>
    </row>
    <row r="31" spans="2:20" x14ac:dyDescent="0.25">
      <c r="B31" s="30" t="s">
        <v>46</v>
      </c>
      <c r="C31" s="61">
        <v>-12473203.220000001</v>
      </c>
      <c r="D31" s="56">
        <v>-12691059.65</v>
      </c>
      <c r="E31" s="56">
        <v>-12910011.76</v>
      </c>
      <c r="F31" s="56">
        <v>-13130707.360000001</v>
      </c>
      <c r="G31" s="56">
        <v>-13356153.640000002</v>
      </c>
      <c r="H31" s="56">
        <v>-13582481.890000002</v>
      </c>
      <c r="I31" s="56">
        <v>-13809960.730000002</v>
      </c>
      <c r="J31" s="56">
        <v>-14041160.160000002</v>
      </c>
      <c r="K31" s="56">
        <v>-14274281.750000002</v>
      </c>
      <c r="L31" s="56">
        <v>-14514145.470000003</v>
      </c>
      <c r="M31" s="56">
        <v>-14755655.910000004</v>
      </c>
      <c r="N31" s="56">
        <v>-14997796.260000004</v>
      </c>
      <c r="O31" s="56">
        <v>-15242013.350000003</v>
      </c>
      <c r="P31" s="56">
        <v>-15242013.350000003</v>
      </c>
      <c r="Q31" s="30" t="s">
        <v>40</v>
      </c>
      <c r="S31" s="36">
        <v>-94402.466449666652</v>
      </c>
    </row>
    <row r="32" spans="2:20" ht="15.75" thickBot="1" x14ac:dyDescent="0.3">
      <c r="B32" s="30" t="s">
        <v>47</v>
      </c>
      <c r="C32" s="65">
        <v>112826546.75800005</v>
      </c>
      <c r="D32" s="65">
        <v>112889519.61800003</v>
      </c>
      <c r="E32" s="65">
        <v>114200508.21800004</v>
      </c>
      <c r="F32" s="65">
        <v>118416190.60800005</v>
      </c>
      <c r="G32" s="65">
        <v>119611507.90800005</v>
      </c>
      <c r="H32" s="65">
        <v>122221243.13800006</v>
      </c>
      <c r="I32" s="65">
        <v>123588675.62800004</v>
      </c>
      <c r="J32" s="65">
        <v>125413254.88800004</v>
      </c>
      <c r="K32" s="65">
        <v>126695760.42800003</v>
      </c>
      <c r="L32" s="65">
        <v>128426193.64800003</v>
      </c>
      <c r="M32" s="65">
        <v>129330295.57800004</v>
      </c>
      <c r="N32" s="65">
        <v>131473959.66800003</v>
      </c>
      <c r="O32" s="65">
        <v>132329151.61800005</v>
      </c>
      <c r="P32" s="65">
        <v>132329151.61800005</v>
      </c>
      <c r="Q32" s="30" t="s">
        <v>40</v>
      </c>
      <c r="S32" s="36">
        <v>14132648.873550331</v>
      </c>
      <c r="T32" s="36">
        <v>-98693897.88444972</v>
      </c>
    </row>
    <row r="33" spans="1:19" ht="16.5" thickTop="1" thickBot="1" x14ac:dyDescent="0.3">
      <c r="B33" s="58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1:19" ht="16.5" thickTop="1" thickBot="1" x14ac:dyDescent="0.3">
      <c r="B34" s="58" t="s">
        <v>48</v>
      </c>
      <c r="C34" s="56"/>
      <c r="D34" s="66">
        <v>112858033</v>
      </c>
      <c r="E34" s="66">
        <v>113545014</v>
      </c>
      <c r="F34" s="66">
        <v>116308349</v>
      </c>
      <c r="G34" s="66">
        <v>119013849</v>
      </c>
      <c r="H34" s="66">
        <v>120916376</v>
      </c>
      <c r="I34" s="66">
        <v>122904959</v>
      </c>
      <c r="J34" s="66">
        <v>124500965</v>
      </c>
      <c r="K34" s="66">
        <v>126054508</v>
      </c>
      <c r="L34" s="66">
        <v>127560977</v>
      </c>
      <c r="M34" s="66">
        <v>128878245</v>
      </c>
      <c r="N34" s="66">
        <v>130402128</v>
      </c>
      <c r="O34" s="66">
        <v>131901556</v>
      </c>
      <c r="P34" s="56"/>
      <c r="Q34" s="30" t="s">
        <v>49</v>
      </c>
    </row>
    <row r="35" spans="1:19" ht="15.75" thickTop="1" x14ac:dyDescent="0.25">
      <c r="B35" s="58"/>
      <c r="C35" s="58"/>
      <c r="D35" s="67"/>
      <c r="E35" s="67"/>
      <c r="F35" s="67"/>
      <c r="G35" s="67"/>
      <c r="H35" s="67"/>
      <c r="I35" s="58"/>
    </row>
    <row r="36" spans="1:19" x14ac:dyDescent="0.25">
      <c r="A36" s="30" t="s">
        <v>50</v>
      </c>
      <c r="D36" s="67"/>
      <c r="E36" s="67"/>
      <c r="F36" s="67"/>
      <c r="G36" s="67"/>
      <c r="H36" s="67"/>
    </row>
    <row r="37" spans="1:19" x14ac:dyDescent="0.25">
      <c r="B37" s="30" t="s">
        <v>51</v>
      </c>
      <c r="D37" s="68">
        <v>2.1000000000000001E-2</v>
      </c>
      <c r="E37" s="2">
        <v>2.1000000000000001E-2</v>
      </c>
      <c r="F37" s="2">
        <v>2.1000000000000001E-2</v>
      </c>
      <c r="G37" s="2">
        <v>2.1000000000000001E-2</v>
      </c>
      <c r="H37" s="2">
        <v>2.1000000000000001E-2</v>
      </c>
      <c r="I37" s="2">
        <v>2.1000000000000001E-2</v>
      </c>
      <c r="J37" s="2">
        <v>2.1000000000000001E-2</v>
      </c>
      <c r="K37" s="2">
        <v>2.1000000000000001E-2</v>
      </c>
      <c r="L37" s="2">
        <v>2.1000000000000001E-2</v>
      </c>
      <c r="M37" s="2">
        <v>2.1000000000000001E-2</v>
      </c>
      <c r="N37" s="2">
        <v>2.1000000000000001E-2</v>
      </c>
      <c r="O37" s="2">
        <v>2.1000000000000001E-2</v>
      </c>
      <c r="P37" s="2">
        <v>2.1000000000000001E-2</v>
      </c>
    </row>
    <row r="38" spans="1:19" x14ac:dyDescent="0.25">
      <c r="B38" s="30" t="s">
        <v>52</v>
      </c>
      <c r="D38" s="68">
        <v>2.1999999999999999E-2</v>
      </c>
      <c r="E38" s="2">
        <v>2.1999999999999999E-2</v>
      </c>
      <c r="F38" s="2">
        <v>2.1999999999999999E-2</v>
      </c>
      <c r="G38" s="2">
        <v>2.1999999999999999E-2</v>
      </c>
      <c r="H38" s="2">
        <v>2.1999999999999999E-2</v>
      </c>
      <c r="I38" s="2">
        <v>2.1999999999999999E-2</v>
      </c>
      <c r="J38" s="2">
        <v>2.1999999999999999E-2</v>
      </c>
      <c r="K38" s="2">
        <v>2.1999999999999999E-2</v>
      </c>
      <c r="L38" s="2">
        <v>2.1999999999999999E-2</v>
      </c>
      <c r="M38" s="2">
        <v>2.1999999999999999E-2</v>
      </c>
      <c r="N38" s="2">
        <v>2.1999999999999999E-2</v>
      </c>
      <c r="O38" s="2">
        <v>2.1999999999999999E-2</v>
      </c>
      <c r="P38" s="2">
        <v>2.1999999999999999E-2</v>
      </c>
    </row>
    <row r="39" spans="1:19" x14ac:dyDescent="0.25"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</row>
    <row r="40" spans="1:19" x14ac:dyDescent="0.25">
      <c r="A40" s="30" t="s">
        <v>53</v>
      </c>
      <c r="D40" s="46"/>
    </row>
    <row r="41" spans="1:19" x14ac:dyDescent="0.25">
      <c r="B41" s="30" t="s">
        <v>54</v>
      </c>
      <c r="D41" s="69">
        <v>5.3400000000000003E-2</v>
      </c>
      <c r="E41" s="11">
        <v>5.3400000000000003E-2</v>
      </c>
      <c r="F41" s="11">
        <v>5.3400000000000003E-2</v>
      </c>
      <c r="G41" s="11">
        <v>5.3400000000000003E-2</v>
      </c>
      <c r="H41" s="11">
        <v>5.3400000000000003E-2</v>
      </c>
      <c r="I41" s="70">
        <v>5.3400000000000003E-2</v>
      </c>
      <c r="J41" s="70">
        <v>5.3400000000000003E-2</v>
      </c>
      <c r="K41" s="70">
        <v>5.3400000000000003E-2</v>
      </c>
      <c r="L41" s="70">
        <v>5.3400000000000003E-2</v>
      </c>
      <c r="M41" s="70">
        <v>5.3400000000000003E-2</v>
      </c>
      <c r="N41" s="70">
        <v>5.3400000000000003E-2</v>
      </c>
      <c r="O41" s="70">
        <v>5.3400000000000003E-2</v>
      </c>
      <c r="P41" s="70">
        <v>5.3400000000000003E-2</v>
      </c>
    </row>
    <row r="42" spans="1:19" x14ac:dyDescent="0.25">
      <c r="B42" s="30" t="s">
        <v>55</v>
      </c>
      <c r="D42" s="69">
        <v>1.5799999999999998E-2</v>
      </c>
      <c r="E42" s="11">
        <v>1.5799999999999998E-2</v>
      </c>
      <c r="F42" s="11">
        <v>1.5799999999999998E-2</v>
      </c>
      <c r="G42" s="11">
        <v>1.5799999999999998E-2</v>
      </c>
      <c r="H42" s="11">
        <v>1.5799999999999998E-2</v>
      </c>
      <c r="I42" s="70">
        <v>1.5799999999999998E-2</v>
      </c>
      <c r="J42" s="70">
        <v>1.5799999999999998E-2</v>
      </c>
      <c r="K42" s="70">
        <v>1.5799999999999998E-2</v>
      </c>
      <c r="L42" s="70">
        <v>1.5799999999999998E-2</v>
      </c>
      <c r="M42" s="70">
        <v>1.5799999999999998E-2</v>
      </c>
      <c r="N42" s="70">
        <v>1.5799999999999998E-2</v>
      </c>
      <c r="O42" s="70">
        <v>1.5799999999999998E-2</v>
      </c>
      <c r="P42" s="70">
        <v>1.5799999999999998E-2</v>
      </c>
    </row>
    <row r="43" spans="1:19" x14ac:dyDescent="0.25">
      <c r="D43" s="46"/>
    </row>
    <row r="44" spans="1:19" x14ac:dyDescent="0.25">
      <c r="B44" s="30" t="s">
        <v>56</v>
      </c>
      <c r="D44" s="56">
        <v>502218</v>
      </c>
      <c r="E44" s="56">
        <v>505275</v>
      </c>
      <c r="F44" s="56">
        <v>517572</v>
      </c>
      <c r="G44" s="56">
        <v>529612</v>
      </c>
      <c r="H44" s="56">
        <v>538078</v>
      </c>
      <c r="I44" s="56">
        <v>546927</v>
      </c>
      <c r="J44" s="56">
        <v>554029</v>
      </c>
      <c r="K44" s="56">
        <v>560943</v>
      </c>
      <c r="L44" s="56">
        <v>567646</v>
      </c>
      <c r="M44" s="56">
        <v>573508</v>
      </c>
      <c r="N44" s="56">
        <v>580289</v>
      </c>
      <c r="O44" s="56">
        <v>586962</v>
      </c>
      <c r="P44" s="36">
        <v>6563059</v>
      </c>
      <c r="Q44" s="30" t="s">
        <v>49</v>
      </c>
      <c r="S44" s="36">
        <v>550881.63992333331</v>
      </c>
    </row>
    <row r="45" spans="1:19" x14ac:dyDescent="0.25">
      <c r="B45" s="30" t="s">
        <v>57</v>
      </c>
      <c r="D45" s="62">
        <v>148596</v>
      </c>
      <c r="E45" s="62">
        <v>149501</v>
      </c>
      <c r="F45" s="62">
        <v>153139</v>
      </c>
      <c r="G45" s="62">
        <v>156702</v>
      </c>
      <c r="H45" s="62">
        <v>159207</v>
      </c>
      <c r="I45" s="62">
        <v>161825</v>
      </c>
      <c r="J45" s="62">
        <v>163926</v>
      </c>
      <c r="K45" s="62">
        <v>165972</v>
      </c>
      <c r="L45" s="62">
        <v>167955</v>
      </c>
      <c r="M45" s="62">
        <v>169690</v>
      </c>
      <c r="N45" s="62">
        <v>171696</v>
      </c>
      <c r="O45" s="62">
        <v>173670</v>
      </c>
      <c r="P45" s="62">
        <v>1941879</v>
      </c>
      <c r="Q45" s="30" t="s">
        <v>49</v>
      </c>
      <c r="S45" s="36">
        <v>145668.86316666665</v>
      </c>
    </row>
    <row r="46" spans="1:19" ht="15.75" thickBot="1" x14ac:dyDescent="0.3">
      <c r="B46" s="30" t="s">
        <v>58</v>
      </c>
      <c r="D46" s="63">
        <v>650814</v>
      </c>
      <c r="E46" s="63">
        <v>654776</v>
      </c>
      <c r="F46" s="63">
        <v>670711</v>
      </c>
      <c r="G46" s="63">
        <v>686314</v>
      </c>
      <c r="H46" s="63">
        <v>697285</v>
      </c>
      <c r="I46" s="63">
        <v>708752</v>
      </c>
      <c r="J46" s="63">
        <v>717955</v>
      </c>
      <c r="K46" s="63">
        <v>726915</v>
      </c>
      <c r="L46" s="63">
        <v>735601</v>
      </c>
      <c r="M46" s="63">
        <v>743198</v>
      </c>
      <c r="N46" s="63">
        <v>751985</v>
      </c>
      <c r="O46" s="63">
        <v>760632</v>
      </c>
      <c r="P46" s="65">
        <v>8504938</v>
      </c>
      <c r="Q46" s="30" t="s">
        <v>59</v>
      </c>
      <c r="S46" s="36">
        <v>696550.50309000001</v>
      </c>
    </row>
    <row r="47" spans="1:19" ht="15.75" thickTop="1" x14ac:dyDescent="0.25">
      <c r="D47" s="31"/>
    </row>
    <row r="48" spans="1:19" x14ac:dyDescent="0.25">
      <c r="A48" s="30" t="s">
        <v>60</v>
      </c>
      <c r="D48" s="31"/>
    </row>
    <row r="49" spans="1:19" x14ac:dyDescent="0.25">
      <c r="B49" s="30" t="s">
        <v>61</v>
      </c>
      <c r="C49" s="1"/>
      <c r="D49" s="8">
        <v>156816.06</v>
      </c>
      <c r="E49" s="8">
        <v>157269.01999999999</v>
      </c>
      <c r="F49" s="8">
        <v>157908.13</v>
      </c>
      <c r="G49" s="8">
        <v>159368.13</v>
      </c>
      <c r="H49" s="8">
        <v>159456.1</v>
      </c>
      <c r="I49" s="8">
        <v>159567.64000000001</v>
      </c>
      <c r="J49" s="8">
        <v>162317.82</v>
      </c>
      <c r="K49" s="8">
        <v>162715.51</v>
      </c>
      <c r="L49" s="8">
        <v>168264.89</v>
      </c>
      <c r="M49" s="8">
        <v>168526.8</v>
      </c>
      <c r="N49" s="8">
        <v>168657.6</v>
      </c>
      <c r="O49" s="8">
        <v>169440.89</v>
      </c>
      <c r="P49" s="36">
        <v>1950308.5899999999</v>
      </c>
      <c r="Q49" s="30" t="s">
        <v>62</v>
      </c>
      <c r="S49" s="36">
        <v>60328.131416666671</v>
      </c>
    </row>
    <row r="50" spans="1:19" x14ac:dyDescent="0.25">
      <c r="B50" s="30" t="s">
        <v>63</v>
      </c>
      <c r="C50" s="1"/>
      <c r="D50" s="8">
        <v>61040.37</v>
      </c>
      <c r="E50" s="8">
        <v>61683.09</v>
      </c>
      <c r="F50" s="8">
        <v>62787.47</v>
      </c>
      <c r="G50" s="8">
        <v>66078.149999999994</v>
      </c>
      <c r="H50" s="8">
        <v>66872.149999999994</v>
      </c>
      <c r="I50" s="8">
        <v>67911.199999999997</v>
      </c>
      <c r="J50" s="8">
        <v>68881.61</v>
      </c>
      <c r="K50" s="8">
        <v>70406.080000000002</v>
      </c>
      <c r="L50" s="8">
        <v>71598.83</v>
      </c>
      <c r="M50" s="8">
        <v>72983.64</v>
      </c>
      <c r="N50" s="8">
        <v>73482.75</v>
      </c>
      <c r="O50" s="8">
        <v>74776.2</v>
      </c>
      <c r="P50" s="36">
        <v>818501.53999999992</v>
      </c>
      <c r="Q50" s="30" t="s">
        <v>62</v>
      </c>
      <c r="S50" s="36">
        <v>33207.335033000003</v>
      </c>
    </row>
    <row r="51" spans="1:19" x14ac:dyDescent="0.25">
      <c r="B51" s="30" t="s">
        <v>64</v>
      </c>
      <c r="C51" s="68">
        <v>0.02</v>
      </c>
      <c r="D51" s="8">
        <v>188044.24</v>
      </c>
      <c r="E51" s="8">
        <v>188044.24</v>
      </c>
      <c r="F51" s="8">
        <v>188044.24</v>
      </c>
      <c r="G51" s="8">
        <v>188044.24</v>
      </c>
      <c r="H51" s="8">
        <v>188044.24</v>
      </c>
      <c r="I51" s="8">
        <v>188044.24</v>
      </c>
      <c r="J51" s="8">
        <v>188044.24</v>
      </c>
      <c r="K51" s="8">
        <v>188044.24</v>
      </c>
      <c r="L51" s="8">
        <v>188044.24</v>
      </c>
      <c r="M51" s="8">
        <v>188044.24</v>
      </c>
      <c r="N51" s="8">
        <v>188044.24</v>
      </c>
      <c r="O51" s="8">
        <v>188044.24</v>
      </c>
      <c r="P51" s="36">
        <v>2256530.88</v>
      </c>
      <c r="Q51" s="30" t="s">
        <v>62</v>
      </c>
      <c r="S51" s="36">
        <v>32679.122000000003</v>
      </c>
    </row>
    <row r="52" spans="1:19" x14ac:dyDescent="0.25">
      <c r="B52" s="30" t="s">
        <v>65</v>
      </c>
      <c r="D52" s="71">
        <v>0</v>
      </c>
      <c r="E52" s="71">
        <v>0</v>
      </c>
      <c r="F52" s="71">
        <v>4272.42</v>
      </c>
      <c r="G52" s="71">
        <v>0</v>
      </c>
      <c r="H52" s="71">
        <v>0</v>
      </c>
      <c r="I52" s="71">
        <v>0</v>
      </c>
      <c r="J52" s="71">
        <v>489.63</v>
      </c>
      <c r="K52" s="71">
        <v>0</v>
      </c>
      <c r="L52" s="71">
        <v>2202.34</v>
      </c>
      <c r="M52" s="71">
        <v>0</v>
      </c>
      <c r="N52" s="71">
        <v>0</v>
      </c>
      <c r="O52" s="71">
        <v>0</v>
      </c>
      <c r="P52" s="36">
        <v>6964.39</v>
      </c>
      <c r="Q52" s="30" t="s">
        <v>31</v>
      </c>
      <c r="S52" s="36">
        <v>1640.79</v>
      </c>
    </row>
    <row r="53" spans="1:19" x14ac:dyDescent="0.25">
      <c r="B53" s="30" t="s">
        <v>66</v>
      </c>
      <c r="D53" s="71">
        <v>0</v>
      </c>
      <c r="E53" s="71">
        <v>0</v>
      </c>
      <c r="F53" s="71"/>
      <c r="G53" s="71">
        <v>99.32</v>
      </c>
      <c r="H53" s="71"/>
      <c r="I53" s="71"/>
      <c r="J53" s="71"/>
      <c r="K53" s="71"/>
      <c r="L53" s="71"/>
      <c r="M53" s="71"/>
      <c r="N53" s="71">
        <v>0</v>
      </c>
      <c r="O53" s="71">
        <v>0</v>
      </c>
      <c r="P53" s="62">
        <v>99.32</v>
      </c>
      <c r="Q53" s="30" t="s">
        <v>31</v>
      </c>
      <c r="S53" s="36">
        <v>5380.98</v>
      </c>
    </row>
    <row r="54" spans="1:19" ht="15.75" thickBot="1" x14ac:dyDescent="0.3">
      <c r="B54" s="30" t="s">
        <v>67</v>
      </c>
      <c r="D54" s="65">
        <v>405900.67</v>
      </c>
      <c r="E54" s="65">
        <v>406996.35</v>
      </c>
      <c r="F54" s="65">
        <v>413012.25999999995</v>
      </c>
      <c r="G54" s="65">
        <v>413589.84</v>
      </c>
      <c r="H54" s="65">
        <v>414372.49</v>
      </c>
      <c r="I54" s="65">
        <v>415523.08</v>
      </c>
      <c r="J54" s="10">
        <v>419733.3</v>
      </c>
      <c r="K54" s="65">
        <v>421165.83</v>
      </c>
      <c r="L54" s="65">
        <v>430110.30000000005</v>
      </c>
      <c r="M54" s="65">
        <v>429554.68</v>
      </c>
      <c r="N54" s="65">
        <v>430184.58999999997</v>
      </c>
      <c r="O54" s="65">
        <v>432261.33</v>
      </c>
      <c r="P54" s="63">
        <v>5032404.72</v>
      </c>
      <c r="Q54" s="30" t="s">
        <v>59</v>
      </c>
      <c r="S54" s="36">
        <v>0</v>
      </c>
    </row>
    <row r="55" spans="1:19" ht="15.75" thickTop="1" x14ac:dyDescent="0.25">
      <c r="D55" s="72"/>
    </row>
    <row r="56" spans="1:19" ht="15.75" thickBot="1" x14ac:dyDescent="0.3">
      <c r="A56" s="30" t="s">
        <v>68</v>
      </c>
      <c r="D56" s="63">
        <v>1056714.67</v>
      </c>
      <c r="E56" s="63">
        <v>1061772.3500000001</v>
      </c>
      <c r="F56" s="63">
        <v>1083723.26</v>
      </c>
      <c r="G56" s="63">
        <v>1099903.8400000001</v>
      </c>
      <c r="H56" s="63">
        <v>1111657.49</v>
      </c>
      <c r="I56" s="63">
        <v>1124275.08</v>
      </c>
      <c r="J56" s="63">
        <v>1137688.3</v>
      </c>
      <c r="K56" s="63">
        <v>1148080.83</v>
      </c>
      <c r="L56" s="63">
        <v>1165711.3</v>
      </c>
      <c r="M56" s="63">
        <v>1172752.68</v>
      </c>
      <c r="N56" s="63">
        <v>1182169.5899999999</v>
      </c>
      <c r="O56" s="63">
        <v>1192893.33</v>
      </c>
      <c r="P56" s="63">
        <v>13537342.719999999</v>
      </c>
      <c r="Q56" s="30" t="s">
        <v>40</v>
      </c>
      <c r="S56" s="36">
        <v>0</v>
      </c>
    </row>
    <row r="57" spans="1:19" ht="15.75" thickTop="1" x14ac:dyDescent="0.25">
      <c r="D57" s="72"/>
    </row>
    <row r="58" spans="1:19" x14ac:dyDescent="0.25">
      <c r="A58" s="30" t="s">
        <v>69</v>
      </c>
      <c r="D58" s="56">
        <v>62310</v>
      </c>
      <c r="E58" s="56">
        <v>62310</v>
      </c>
      <c r="F58" s="56">
        <v>62310</v>
      </c>
      <c r="G58" s="56">
        <v>62310</v>
      </c>
      <c r="H58" s="56">
        <v>62310</v>
      </c>
      <c r="I58" s="56">
        <v>62310</v>
      </c>
      <c r="J58" s="56">
        <v>62310</v>
      </c>
      <c r="K58" s="56">
        <v>62310</v>
      </c>
      <c r="L58" s="56">
        <v>62310</v>
      </c>
      <c r="M58" s="56">
        <v>62310</v>
      </c>
      <c r="N58" s="56">
        <v>62310</v>
      </c>
      <c r="O58" s="56">
        <v>62317</v>
      </c>
      <c r="P58" s="36">
        <v>747727</v>
      </c>
      <c r="Q58" s="30" t="s">
        <v>70</v>
      </c>
      <c r="S58" s="36">
        <v>0</v>
      </c>
    </row>
    <row r="59" spans="1:19" s="73" customFormat="1" x14ac:dyDescent="0.25">
      <c r="A59" s="73" t="s">
        <v>71</v>
      </c>
      <c r="D59" s="74">
        <v>994404.66999999993</v>
      </c>
      <c r="E59" s="74">
        <v>999462.35000000009</v>
      </c>
      <c r="F59" s="74">
        <v>1021413.26</v>
      </c>
      <c r="G59" s="74">
        <v>1037593.8400000001</v>
      </c>
      <c r="H59" s="74">
        <v>1049347.49</v>
      </c>
      <c r="I59" s="74">
        <v>1061965.08</v>
      </c>
      <c r="J59" s="74">
        <v>1075378.3</v>
      </c>
      <c r="K59" s="74">
        <v>1085770.83</v>
      </c>
      <c r="L59" s="74">
        <v>1103401.3</v>
      </c>
      <c r="M59" s="74">
        <v>1110442.68</v>
      </c>
      <c r="N59" s="74">
        <v>1119859.5899999999</v>
      </c>
      <c r="O59" s="74">
        <v>1130576.33</v>
      </c>
      <c r="P59" s="74">
        <v>12789615.719999999</v>
      </c>
      <c r="Q59" s="73" t="s">
        <v>40</v>
      </c>
      <c r="S59" s="74">
        <v>747727</v>
      </c>
    </row>
    <row r="60" spans="1:19" x14ac:dyDescent="0.25">
      <c r="P60" s="46"/>
    </row>
    <row r="61" spans="1:19" x14ac:dyDescent="0.25">
      <c r="A61" s="30" t="s">
        <v>72</v>
      </c>
      <c r="D61" s="75">
        <v>1264921.82</v>
      </c>
      <c r="E61" s="75">
        <v>1062108.73</v>
      </c>
      <c r="F61" s="75">
        <v>999378.5</v>
      </c>
      <c r="G61" s="75">
        <v>989601.35</v>
      </c>
      <c r="H61" s="75">
        <v>852681.93</v>
      </c>
      <c r="I61" s="75">
        <v>745895.46</v>
      </c>
      <c r="J61" s="75">
        <v>752769.03</v>
      </c>
      <c r="K61" s="75">
        <v>685487.09</v>
      </c>
      <c r="L61" s="75">
        <v>728015.35999999999</v>
      </c>
      <c r="M61" s="75">
        <v>746314.03</v>
      </c>
      <c r="N61" s="75">
        <v>866039.55</v>
      </c>
      <c r="O61" s="75">
        <v>1037396.94</v>
      </c>
      <c r="P61" s="76">
        <v>10730609.789999999</v>
      </c>
      <c r="Q61" s="30" t="s">
        <v>31</v>
      </c>
      <c r="S61" s="36">
        <v>0</v>
      </c>
    </row>
    <row r="62" spans="1:19" x14ac:dyDescent="0.25">
      <c r="A62" s="30" t="s">
        <v>73</v>
      </c>
      <c r="D62" s="12">
        <v>1.0050300000000001</v>
      </c>
      <c r="E62" s="12">
        <v>1.0050300000000001</v>
      </c>
      <c r="F62" s="12">
        <v>1.0050300000000001</v>
      </c>
      <c r="G62" s="12">
        <v>1.0050300000000001</v>
      </c>
      <c r="H62" s="12">
        <v>1.0050300000000001</v>
      </c>
      <c r="I62" s="12">
        <v>1.0050300000000001</v>
      </c>
      <c r="J62" s="12">
        <v>1.0050300000000001</v>
      </c>
      <c r="K62" s="12">
        <v>1.0050300000000001</v>
      </c>
      <c r="L62" s="12">
        <v>1.0050300000000001</v>
      </c>
      <c r="M62" s="12">
        <v>1.0050300000000001</v>
      </c>
      <c r="N62" s="12">
        <v>1.0050300000000001</v>
      </c>
      <c r="O62" s="12">
        <v>1.0050300000000001</v>
      </c>
      <c r="P62" s="77">
        <v>1.0050300000000001</v>
      </c>
    </row>
    <row r="63" spans="1:19" ht="15.75" thickBot="1" x14ac:dyDescent="0.3">
      <c r="A63" s="30" t="s">
        <v>74</v>
      </c>
      <c r="C63" s="46"/>
      <c r="D63" s="78">
        <v>1258591.1067331324</v>
      </c>
      <c r="E63" s="78">
        <v>1056793.0609036544</v>
      </c>
      <c r="F63" s="78">
        <v>994376.78477259376</v>
      </c>
      <c r="G63" s="78">
        <v>984648.5677044465</v>
      </c>
      <c r="H63" s="78">
        <v>848414.40554013313</v>
      </c>
      <c r="I63" s="78">
        <v>742162.38321244135</v>
      </c>
      <c r="J63" s="78">
        <v>749001.55219247181</v>
      </c>
      <c r="K63" s="78">
        <v>682056.34657671896</v>
      </c>
      <c r="L63" s="78">
        <v>724371.76999691548</v>
      </c>
      <c r="M63" s="78">
        <v>742578.85834253696</v>
      </c>
      <c r="N63" s="78">
        <v>861705.17297991097</v>
      </c>
      <c r="O63" s="78">
        <v>1032204.9491059966</v>
      </c>
      <c r="P63" s="78">
        <v>10676904.958060952</v>
      </c>
    </row>
    <row r="64" spans="1:19" ht="15.75" thickTop="1" x14ac:dyDescent="0.25">
      <c r="C64" s="79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1:20" x14ac:dyDescent="0.25">
      <c r="A65" s="30" t="s">
        <v>75</v>
      </c>
      <c r="C65" s="79"/>
      <c r="D65" s="13">
        <v>-264186</v>
      </c>
      <c r="E65" s="13">
        <v>-57331</v>
      </c>
      <c r="F65" s="13">
        <v>27036</v>
      </c>
      <c r="G65" s="13">
        <v>52945</v>
      </c>
      <c r="H65" s="13">
        <v>200933</v>
      </c>
      <c r="I65" s="13">
        <v>319803</v>
      </c>
      <c r="J65" s="80">
        <v>326377</v>
      </c>
      <c r="K65" s="80">
        <v>403714</v>
      </c>
      <c r="L65" s="80">
        <v>379030</v>
      </c>
      <c r="M65" s="14">
        <v>367864</v>
      </c>
      <c r="N65" s="13">
        <v>258154</v>
      </c>
      <c r="O65" s="13">
        <v>98371</v>
      </c>
      <c r="P65" s="80">
        <v>2059006</v>
      </c>
      <c r="Q65" s="30" t="s">
        <v>49</v>
      </c>
      <c r="S65" s="36">
        <v>-175578</v>
      </c>
      <c r="T65" s="36">
        <v>-175578</v>
      </c>
    </row>
    <row r="66" spans="1:20" x14ac:dyDescent="0.25">
      <c r="A66" s="30" t="s">
        <v>76</v>
      </c>
      <c r="C66" s="79"/>
      <c r="D66" s="13">
        <v>-32</v>
      </c>
      <c r="E66" s="13">
        <v>-31</v>
      </c>
      <c r="F66" s="13">
        <v>-25</v>
      </c>
      <c r="G66" s="13">
        <v>-18</v>
      </c>
      <c r="H66" s="13">
        <v>-14</v>
      </c>
      <c r="I66" s="13">
        <v>-6</v>
      </c>
      <c r="J66" s="13">
        <v>5</v>
      </c>
      <c r="K66" s="15">
        <v>19</v>
      </c>
      <c r="L66" s="15">
        <v>35</v>
      </c>
      <c r="M66" s="15">
        <v>62</v>
      </c>
      <c r="N66" s="15">
        <v>78</v>
      </c>
      <c r="O66" s="15">
        <v>87</v>
      </c>
      <c r="P66" s="41">
        <v>160</v>
      </c>
      <c r="Q66" s="30" t="s">
        <v>49</v>
      </c>
      <c r="S66" s="36">
        <v>-406</v>
      </c>
      <c r="T66" s="36">
        <v>-406</v>
      </c>
    </row>
    <row r="67" spans="1:20" x14ac:dyDescent="0.25">
      <c r="A67" s="30" t="s">
        <v>77</v>
      </c>
      <c r="C67" s="79"/>
      <c r="D67" s="80"/>
      <c r="E67" s="80"/>
      <c r="F67" s="13"/>
      <c r="G67" s="80"/>
      <c r="H67" s="80"/>
      <c r="I67" s="80"/>
      <c r="J67" s="80"/>
      <c r="K67" s="81"/>
      <c r="L67" s="81"/>
      <c r="M67" s="81"/>
      <c r="N67" s="81"/>
      <c r="O67" s="15"/>
      <c r="P67" s="41"/>
      <c r="S67" s="36"/>
      <c r="T67" s="36"/>
    </row>
    <row r="68" spans="1:20" ht="15.75" thickBot="1" x14ac:dyDescent="0.3">
      <c r="A68" s="30" t="s">
        <v>78</v>
      </c>
      <c r="C68" s="82">
        <v>-326118</v>
      </c>
      <c r="D68" s="26">
        <v>-590336</v>
      </c>
      <c r="E68" s="26">
        <v>-647698</v>
      </c>
      <c r="F68" s="26">
        <v>-620687</v>
      </c>
      <c r="G68" s="83">
        <v>-567760</v>
      </c>
      <c r="H68" s="83">
        <v>-366841</v>
      </c>
      <c r="I68" s="83">
        <v>-47044</v>
      </c>
      <c r="J68" s="83">
        <v>279338</v>
      </c>
      <c r="K68" s="26">
        <v>683071</v>
      </c>
      <c r="L68" s="26">
        <v>1062136</v>
      </c>
      <c r="M68" s="26">
        <v>1430062</v>
      </c>
      <c r="N68" s="26">
        <v>1688294</v>
      </c>
      <c r="O68" s="26">
        <v>1786752</v>
      </c>
      <c r="P68" s="83">
        <v>1786752</v>
      </c>
      <c r="S68" s="36">
        <v>-419678.97</v>
      </c>
      <c r="T68" s="36">
        <v>-93560.969999999972</v>
      </c>
    </row>
    <row r="69" spans="1:20" ht="15.75" thickTop="1" x14ac:dyDescent="0.25">
      <c r="B69" s="84" t="s">
        <v>79</v>
      </c>
      <c r="C69" s="85">
        <v>-329145</v>
      </c>
      <c r="D69" s="86">
        <v>-578337</v>
      </c>
      <c r="E69" s="17">
        <v>-614498</v>
      </c>
      <c r="F69" s="86">
        <v>-628717</v>
      </c>
      <c r="G69" s="86">
        <v>-577587</v>
      </c>
      <c r="H69" s="86">
        <v>-381635</v>
      </c>
      <c r="I69" s="17">
        <v>-71110</v>
      </c>
      <c r="J69" s="17">
        <v>246006</v>
      </c>
      <c r="K69" s="17">
        <v>657100</v>
      </c>
      <c r="L69" s="17">
        <v>1028609</v>
      </c>
      <c r="M69" s="17">
        <v>1430062</v>
      </c>
      <c r="N69" s="17">
        <v>1688294</v>
      </c>
      <c r="O69" s="87">
        <v>1786752</v>
      </c>
      <c r="P69" s="41"/>
    </row>
    <row r="70" spans="1:20" x14ac:dyDescent="0.25">
      <c r="B70" s="84" t="s">
        <v>80</v>
      </c>
      <c r="C70" s="88">
        <v>3027</v>
      </c>
      <c r="D70" s="18">
        <v>-11999</v>
      </c>
      <c r="E70" s="88">
        <v>-33200</v>
      </c>
      <c r="F70" s="88">
        <v>8030</v>
      </c>
      <c r="G70" s="88">
        <v>9827</v>
      </c>
      <c r="H70" s="88">
        <v>14794</v>
      </c>
      <c r="I70" s="88">
        <v>24066</v>
      </c>
      <c r="J70" s="88">
        <v>33332</v>
      </c>
      <c r="K70" s="88">
        <v>25971</v>
      </c>
      <c r="L70" s="18">
        <v>33527</v>
      </c>
      <c r="M70" s="18">
        <v>0</v>
      </c>
      <c r="N70" s="18">
        <v>0</v>
      </c>
      <c r="O70" s="88">
        <v>0</v>
      </c>
      <c r="P70" s="41"/>
    </row>
    <row r="71" spans="1:20" x14ac:dyDescent="0.25">
      <c r="E71" s="89"/>
      <c r="F71" s="80"/>
      <c r="J71" s="20"/>
      <c r="K71" s="20"/>
      <c r="O71" s="41"/>
      <c r="P71" s="41"/>
    </row>
    <row r="72" spans="1:20" x14ac:dyDescent="0.25">
      <c r="A72" s="30" t="s">
        <v>81</v>
      </c>
      <c r="D72" s="90">
        <v>8.9999999999999998E-4</v>
      </c>
      <c r="E72" s="21">
        <v>6.9999999999999999E-4</v>
      </c>
      <c r="F72" s="21">
        <v>5.9999999999999995E-4</v>
      </c>
      <c r="G72" s="21">
        <v>4.0000000000000002E-4</v>
      </c>
      <c r="H72" s="21">
        <v>4.0000000000000002E-4</v>
      </c>
      <c r="I72" s="21">
        <v>2.9999999999999997E-4</v>
      </c>
      <c r="J72" s="21">
        <v>4.0000000000000002E-4</v>
      </c>
      <c r="K72" s="21">
        <v>5.0000000000000001E-4</v>
      </c>
      <c r="L72" s="21">
        <v>5.0000000000000001E-4</v>
      </c>
      <c r="M72" s="21">
        <v>5.0000000000000001E-4</v>
      </c>
      <c r="N72" s="21">
        <v>5.9999999999999995E-4</v>
      </c>
      <c r="O72" s="21">
        <v>6.9999999999999999E-4</v>
      </c>
    </row>
    <row r="73" spans="1:20" x14ac:dyDescent="0.25">
      <c r="A73" s="30" t="s">
        <v>82</v>
      </c>
      <c r="D73" s="90">
        <v>6.9999999999999999E-4</v>
      </c>
      <c r="E73" s="90">
        <v>5.9999999999999995E-4</v>
      </c>
      <c r="F73" s="90">
        <v>4.0000000000000002E-4</v>
      </c>
      <c r="G73" s="90">
        <v>4.0000000000000002E-4</v>
      </c>
      <c r="H73" s="90">
        <v>2.9999999999999997E-4</v>
      </c>
      <c r="I73" s="90">
        <v>4.0000000000000002E-4</v>
      </c>
      <c r="J73" s="90">
        <v>5.0000000000000001E-4</v>
      </c>
      <c r="K73" s="90">
        <v>5.0000000000000001E-4</v>
      </c>
      <c r="L73" s="90">
        <v>5.0000000000000001E-4</v>
      </c>
      <c r="M73" s="90">
        <v>5.9999999999999995E-4</v>
      </c>
      <c r="N73" s="90">
        <v>6.9999999999999999E-4</v>
      </c>
      <c r="O73" s="90">
        <v>5.0000000000000001E-4</v>
      </c>
    </row>
    <row r="74" spans="1:20" x14ac:dyDescent="0.25">
      <c r="A74" s="30" t="s">
        <v>83</v>
      </c>
      <c r="D74" s="91">
        <v>6.9999999999999994E-5</v>
      </c>
      <c r="E74" s="91">
        <v>5.0000000000000002E-5</v>
      </c>
      <c r="F74" s="91">
        <v>4.0000000000000003E-5</v>
      </c>
      <c r="G74" s="91">
        <v>3.0000000000000001E-5</v>
      </c>
      <c r="H74" s="91">
        <v>3.0000000000000001E-5</v>
      </c>
      <c r="I74" s="91">
        <v>3.0000000000000001E-5</v>
      </c>
      <c r="J74" s="91">
        <v>4.0000000000000003E-5</v>
      </c>
      <c r="K74" s="91">
        <v>4.0000000000000003E-5</v>
      </c>
      <c r="L74" s="91">
        <v>4.0000000000000003E-5</v>
      </c>
      <c r="M74" s="91">
        <v>5.0000000000000002E-5</v>
      </c>
      <c r="N74" s="91">
        <v>5.0000000000000002E-5</v>
      </c>
      <c r="O74" s="91">
        <v>5.0000000000000002E-5</v>
      </c>
    </row>
    <row r="75" spans="1:20" x14ac:dyDescent="0.25">
      <c r="B75" s="84"/>
      <c r="D75" s="92"/>
      <c r="E75" s="92"/>
      <c r="F75" s="92"/>
      <c r="G75" s="92"/>
      <c r="H75" s="92"/>
      <c r="I75" s="92"/>
      <c r="J75" s="92"/>
      <c r="K75" s="92"/>
      <c r="L75" s="92"/>
      <c r="M75" s="88"/>
      <c r="N75" s="92"/>
      <c r="O75" s="92"/>
    </row>
    <row r="76" spans="1:20" x14ac:dyDescent="0.25">
      <c r="B76" s="22"/>
      <c r="C76" s="93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1"/>
      <c r="Q76" s="1"/>
    </row>
    <row r="77" spans="1:20" ht="15.75" customHeight="1" x14ac:dyDescent="0.25">
      <c r="B77" s="84"/>
      <c r="C77" s="84"/>
      <c r="D77" s="89"/>
      <c r="E77" s="89"/>
      <c r="F77" s="89"/>
      <c r="G77" s="89"/>
      <c r="H77" s="89"/>
      <c r="I77" s="19"/>
      <c r="J77" s="19"/>
      <c r="K77" s="19"/>
      <c r="L77" s="19"/>
      <c r="M77" s="19"/>
      <c r="N77" s="19"/>
      <c r="O77" s="19"/>
      <c r="P77" s="23"/>
      <c r="Q77" s="1"/>
    </row>
    <row r="78" spans="1:20" hidden="1" x14ac:dyDescent="0.25">
      <c r="A78" s="1"/>
      <c r="D78" s="94"/>
      <c r="E78" s="80"/>
      <c r="F78" s="80"/>
      <c r="G78" s="80"/>
      <c r="H78" s="80"/>
      <c r="I78" s="13"/>
      <c r="J78" s="13"/>
      <c r="K78" s="13"/>
      <c r="L78" s="1"/>
      <c r="M78" s="1"/>
      <c r="N78" s="19"/>
      <c r="O78" s="19"/>
      <c r="P78" s="23"/>
      <c r="Q78" s="1"/>
      <c r="S78" s="36"/>
    </row>
    <row r="79" spans="1:20" hidden="1" x14ac:dyDescent="0.25">
      <c r="B79" s="84"/>
      <c r="C79" s="84"/>
      <c r="D79" s="95"/>
      <c r="E79" s="88"/>
      <c r="F79" s="88"/>
      <c r="G79" s="88"/>
      <c r="H79" s="88"/>
      <c r="I79" s="18"/>
      <c r="J79" s="18"/>
      <c r="K79" s="18"/>
      <c r="L79" s="18"/>
      <c r="M79" s="18"/>
      <c r="N79" s="18"/>
      <c r="O79" s="1"/>
      <c r="P79" s="1"/>
      <c r="Q79" s="1"/>
    </row>
    <row r="80" spans="1:20" ht="15.75" hidden="1" thickBot="1" x14ac:dyDescent="0.3">
      <c r="B80" s="84"/>
      <c r="C80" s="16"/>
      <c r="D80" s="83"/>
      <c r="E80" s="83"/>
      <c r="F80" s="83"/>
      <c r="G80" s="83"/>
      <c r="H80" s="83"/>
      <c r="I80" s="26"/>
      <c r="J80" s="26"/>
      <c r="K80" s="26"/>
      <c r="L80" s="19"/>
      <c r="M80" s="19"/>
      <c r="N80" s="89"/>
      <c r="O80" s="18"/>
      <c r="P80" s="23"/>
      <c r="Q80" s="1"/>
    </row>
    <row r="81" spans="2:17" hidden="1" x14ac:dyDescent="0.25">
      <c r="B81" s="16"/>
      <c r="C81" s="16"/>
      <c r="D81" s="18"/>
      <c r="E81" s="18"/>
      <c r="F81" s="18"/>
      <c r="G81" s="18"/>
      <c r="H81" s="18"/>
      <c r="I81" s="18"/>
      <c r="J81" s="18"/>
      <c r="K81" s="27"/>
      <c r="L81" s="18"/>
      <c r="M81" s="18"/>
      <c r="N81" s="18"/>
      <c r="O81" s="18"/>
      <c r="P81" s="1"/>
      <c r="Q81" s="1"/>
    </row>
    <row r="82" spans="2:17" hidden="1" x14ac:dyDescent="0.25">
      <c r="B82" s="16"/>
      <c r="C82" s="16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23"/>
      <c r="Q82" s="1"/>
    </row>
    <row r="83" spans="2:17" hidden="1" x14ac:dyDescent="0.25">
      <c r="D83" s="94"/>
      <c r="E83" s="94"/>
      <c r="F83" s="94"/>
      <c r="G83" s="94"/>
      <c r="H83" s="94"/>
      <c r="I83" s="24"/>
      <c r="J83" s="24"/>
      <c r="K83" s="24"/>
      <c r="L83" s="1"/>
      <c r="M83" s="1"/>
    </row>
    <row r="84" spans="2:17" hidden="1" x14ac:dyDescent="0.25">
      <c r="B84" s="84"/>
      <c r="D84" s="95"/>
      <c r="E84" s="95"/>
      <c r="F84" s="95"/>
      <c r="G84" s="95"/>
      <c r="H84" s="95"/>
      <c r="I84" s="25"/>
      <c r="J84" s="25"/>
      <c r="K84" s="25"/>
      <c r="L84" s="1"/>
      <c r="M84" s="1"/>
    </row>
    <row r="85" spans="2:17" ht="15.75" hidden="1" thickBot="1" x14ac:dyDescent="0.3">
      <c r="B85" s="84"/>
      <c r="D85" s="83"/>
      <c r="E85" s="83"/>
      <c r="F85" s="83"/>
      <c r="G85" s="83"/>
      <c r="H85" s="83"/>
      <c r="I85" s="26"/>
      <c r="J85" s="26"/>
      <c r="K85" s="26"/>
      <c r="L85" s="1"/>
      <c r="M85" s="1"/>
    </row>
    <row r="86" spans="2:17" ht="15.75" hidden="1" thickBot="1" x14ac:dyDescent="0.3">
      <c r="B86" s="84"/>
      <c r="D86" s="83"/>
      <c r="E86" s="83"/>
      <c r="F86" s="83"/>
      <c r="G86" s="83"/>
      <c r="H86" s="83"/>
      <c r="I86" s="26"/>
      <c r="J86" s="26"/>
      <c r="K86" s="26"/>
      <c r="L86" s="1"/>
      <c r="M86" s="1"/>
    </row>
    <row r="87" spans="2:17" hidden="1" x14ac:dyDescent="0.25">
      <c r="G87" s="41"/>
      <c r="I87" s="1"/>
      <c r="J87" s="1"/>
      <c r="K87" s="5"/>
      <c r="L87" s="1"/>
      <c r="M87" s="1"/>
    </row>
    <row r="88" spans="2:17" x14ac:dyDescent="0.25">
      <c r="G88" s="41"/>
      <c r="I88" s="1"/>
      <c r="J88" s="28"/>
      <c r="K88" s="28"/>
      <c r="L88" s="28"/>
      <c r="M88" s="1"/>
      <c r="O88" s="41"/>
    </row>
    <row r="89" spans="2:17" x14ac:dyDescent="0.25">
      <c r="B89" s="84"/>
      <c r="D89" s="41"/>
      <c r="E89" s="41"/>
      <c r="F89" s="41"/>
      <c r="G89" s="41"/>
      <c r="H89" s="41"/>
      <c r="I89" s="5"/>
      <c r="J89" s="28"/>
      <c r="K89" s="28"/>
      <c r="L89" s="28"/>
      <c r="M89" s="5"/>
      <c r="N89" s="96"/>
      <c r="O89" s="41"/>
    </row>
    <row r="90" spans="2:17" x14ac:dyDescent="0.25">
      <c r="B90" s="84"/>
      <c r="D90" s="41"/>
      <c r="E90" s="41"/>
      <c r="F90" s="41"/>
      <c r="G90" s="41"/>
      <c r="H90" s="41"/>
      <c r="I90" s="5"/>
      <c r="J90" s="29"/>
      <c r="K90" s="29"/>
      <c r="L90" s="29"/>
      <c r="M90" s="29"/>
      <c r="N90" s="96"/>
      <c r="O90" s="41"/>
    </row>
    <row r="91" spans="2:17" x14ac:dyDescent="0.25">
      <c r="G91" s="41"/>
      <c r="O91" s="41"/>
    </row>
    <row r="92" spans="2:17" x14ac:dyDescent="0.25">
      <c r="D92" s="41"/>
      <c r="E92" s="41"/>
      <c r="F92" s="41"/>
      <c r="G92" s="41"/>
      <c r="H92" s="41"/>
      <c r="I92" s="41"/>
      <c r="J92" s="41"/>
      <c r="K92" s="41"/>
      <c r="O92" s="41"/>
    </row>
    <row r="93" spans="2:17" x14ac:dyDescent="0.25">
      <c r="G93" s="41"/>
      <c r="O93" s="41"/>
    </row>
    <row r="94" spans="2:17" x14ac:dyDescent="0.25">
      <c r="O94" s="41"/>
    </row>
    <row r="95" spans="2:17" s="97" customFormat="1" x14ac:dyDescent="0.25"/>
    <row r="96" spans="2:17" s="97" customFormat="1" x14ac:dyDescent="0.25">
      <c r="O96" s="98"/>
    </row>
    <row r="97" spans="2:7" s="97" customFormat="1" x14ac:dyDescent="0.25"/>
    <row r="98" spans="2:7" s="97" customFormat="1" x14ac:dyDescent="0.25"/>
    <row r="99" spans="2:7" s="97" customFormat="1" x14ac:dyDescent="0.25"/>
    <row r="100" spans="2:7" s="97" customFormat="1" x14ac:dyDescent="0.25"/>
    <row r="101" spans="2:7" s="97" customFormat="1" x14ac:dyDescent="0.25"/>
    <row r="102" spans="2:7" s="97" customFormat="1" x14ac:dyDescent="0.25"/>
    <row r="103" spans="2:7" s="97" customFormat="1" x14ac:dyDescent="0.25"/>
    <row r="104" spans="2:7" s="97" customFormat="1" x14ac:dyDescent="0.25"/>
    <row r="105" spans="2:7" s="97" customFormat="1" x14ac:dyDescent="0.25">
      <c r="F105" s="99">
        <v>3409617</v>
      </c>
    </row>
    <row r="106" spans="2:7" s="97" customFormat="1" x14ac:dyDescent="0.25">
      <c r="F106" s="99">
        <v>-1622865</v>
      </c>
    </row>
    <row r="107" spans="2:7" s="97" customFormat="1" ht="15.75" thickBot="1" x14ac:dyDescent="0.3">
      <c r="F107" s="100">
        <v>1786752</v>
      </c>
      <c r="G107" s="97" t="s">
        <v>85</v>
      </c>
    </row>
    <row r="108" spans="2:7" s="97" customFormat="1" ht="15.75" thickTop="1" x14ac:dyDescent="0.25"/>
    <row r="109" spans="2:7" s="97" customFormat="1" x14ac:dyDescent="0.25">
      <c r="B109" s="101" t="s">
        <v>86</v>
      </c>
      <c r="F109" s="102"/>
    </row>
    <row r="110" spans="2:7" s="97" customFormat="1" x14ac:dyDescent="0.25"/>
    <row r="111" spans="2:7" s="97" customFormat="1" x14ac:dyDescent="0.25"/>
    <row r="112" spans="2:7" s="97" customFormat="1" x14ac:dyDescent="0.25"/>
    <row r="113" spans="1:14" s="97" customFormat="1" x14ac:dyDescent="0.25"/>
    <row r="114" spans="1:14" s="97" customFormat="1" x14ac:dyDescent="0.25"/>
    <row r="115" spans="1:14" s="97" customFormat="1" x14ac:dyDescent="0.25"/>
    <row r="116" spans="1:14" s="97" customFormat="1" x14ac:dyDescent="0.25"/>
    <row r="117" spans="1:14" s="97" customFormat="1" x14ac:dyDescent="0.25"/>
    <row r="118" spans="1:14" s="97" customFormat="1" x14ac:dyDescent="0.25"/>
    <row r="119" spans="1:14" s="97" customFormat="1" x14ac:dyDescent="0.25">
      <c r="M119" s="103" t="s">
        <v>87</v>
      </c>
      <c r="N119" s="104">
        <v>-619545</v>
      </c>
    </row>
    <row r="120" spans="1:14" s="97" customFormat="1" x14ac:dyDescent="0.25">
      <c r="M120" s="103" t="s">
        <v>88</v>
      </c>
      <c r="N120" s="98">
        <v>0</v>
      </c>
    </row>
    <row r="121" spans="1:14" s="97" customFormat="1" x14ac:dyDescent="0.25">
      <c r="A121" s="97" t="s">
        <v>89</v>
      </c>
    </row>
    <row r="122" spans="1:14" s="97" customFormat="1" x14ac:dyDescent="0.25"/>
    <row r="123" spans="1:14" s="97" customFormat="1" x14ac:dyDescent="0.25"/>
    <row r="124" spans="1:14" s="97" customFormat="1" x14ac:dyDescent="0.25"/>
    <row r="125" spans="1:14" s="97" customFormat="1" x14ac:dyDescent="0.25"/>
    <row r="126" spans="1:14" s="97" customFormat="1" x14ac:dyDescent="0.25"/>
    <row r="127" spans="1:14" s="97" customFormat="1" x14ac:dyDescent="0.25"/>
    <row r="128" spans="1:14" s="97" customFormat="1" x14ac:dyDescent="0.25"/>
    <row r="129" spans="6:6" s="97" customFormat="1" x14ac:dyDescent="0.25">
      <c r="F129" s="97" t="s">
        <v>90</v>
      </c>
    </row>
    <row r="130" spans="6:6" s="97" customFormat="1" x14ac:dyDescent="0.25">
      <c r="F130" s="99">
        <v>1622865</v>
      </c>
    </row>
    <row r="131" spans="6:6" s="97" customFormat="1" x14ac:dyDescent="0.25">
      <c r="F131" s="99">
        <v>-1622865</v>
      </c>
    </row>
    <row r="132" spans="6:6" s="97" customFormat="1" ht="15.75" thickBot="1" x14ac:dyDescent="0.3">
      <c r="F132" s="100">
        <v>0</v>
      </c>
    </row>
    <row r="133" spans="6:6" s="97" customFormat="1" ht="15.75" thickTop="1" x14ac:dyDescent="0.25"/>
    <row r="134" spans="6:6" s="97" customFormat="1" x14ac:dyDescent="0.25"/>
    <row r="135" spans="6:6" s="97" customFormat="1" x14ac:dyDescent="0.25"/>
    <row r="136" spans="6:6" s="97" customFormat="1" x14ac:dyDescent="0.25"/>
    <row r="137" spans="6:6" s="97" customFormat="1" x14ac:dyDescent="0.25"/>
    <row r="138" spans="6:6" s="97" customFormat="1" x14ac:dyDescent="0.25"/>
    <row r="139" spans="6:6" s="97" customFormat="1" x14ac:dyDescent="0.25"/>
    <row r="140" spans="6:6" s="97" customFormat="1" x14ac:dyDescent="0.25"/>
    <row r="141" spans="6:6" s="97" customFormat="1" x14ac:dyDescent="0.25"/>
    <row r="142" spans="6:6" s="97" customFormat="1" x14ac:dyDescent="0.25"/>
    <row r="143" spans="6:6" s="97" customFormat="1" x14ac:dyDescent="0.25"/>
    <row r="144" spans="6:6" s="97" customFormat="1" x14ac:dyDescent="0.25"/>
    <row r="145" s="97" customFormat="1" x14ac:dyDescent="0.25"/>
    <row r="146" s="97" customFormat="1" x14ac:dyDescent="0.25"/>
    <row r="147" s="97" customFormat="1" x14ac:dyDescent="0.25"/>
    <row r="148" s="97" customFormat="1" x14ac:dyDescent="0.25"/>
    <row r="149" s="97" customFormat="1" x14ac:dyDescent="0.25"/>
    <row r="150" s="97" customFormat="1" x14ac:dyDescent="0.25"/>
    <row r="151" s="97" customFormat="1" x14ac:dyDescent="0.25"/>
    <row r="152" s="97" customFormat="1" x14ac:dyDescent="0.25"/>
    <row r="153" s="97" customFormat="1" x14ac:dyDescent="0.25"/>
    <row r="154" s="97" customFormat="1" x14ac:dyDescent="0.25"/>
    <row r="155" s="97" customFormat="1" x14ac:dyDescent="0.25"/>
    <row r="156" s="97" customFormat="1" x14ac:dyDescent="0.25"/>
    <row r="157" s="97" customFormat="1" x14ac:dyDescent="0.25"/>
    <row r="158" s="97" customFormat="1" x14ac:dyDescent="0.25"/>
    <row r="159" s="97" customFormat="1" x14ac:dyDescent="0.25"/>
    <row r="160" s="97" customFormat="1" x14ac:dyDescent="0.25"/>
    <row r="161" s="97" customFormat="1" x14ac:dyDescent="0.25"/>
  </sheetData>
  <conditionalFormatting sqref="N120">
    <cfRule type="cellIs" dxfId="1" priority="1" operator="notEqual">
      <formula>0</formula>
    </cfRule>
  </conditionalFormatting>
  <pageMargins left="0.25" right="0.25" top="0.75" bottom="0.75" header="0.3" footer="0.3"/>
  <pageSetup scale="4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2:T161"/>
  <sheetViews>
    <sheetView topLeftCell="A7" zoomScale="90" zoomScaleNormal="90" workbookViewId="0">
      <pane xSplit="3" ySplit="9" topLeftCell="G67" activePane="bottomRight" state="frozen"/>
      <selection activeCell="O65" sqref="O65"/>
      <selection pane="topRight" activeCell="O65" sqref="O65"/>
      <selection pane="bottomLeft" activeCell="O65" sqref="O65"/>
      <selection pane="bottomRight" activeCell="N70" sqref="N70"/>
    </sheetView>
  </sheetViews>
  <sheetFormatPr defaultColWidth="9.140625" defaultRowHeight="15" x14ac:dyDescent="0.25"/>
  <cols>
    <col min="1" max="1" width="8.7109375" style="30" customWidth="1"/>
    <col min="2" max="2" width="51.85546875" style="30" customWidth="1"/>
    <col min="3" max="3" width="15.140625" style="30" bestFit="1" customWidth="1"/>
    <col min="4" max="6" width="17.28515625" style="30" customWidth="1"/>
    <col min="7" max="7" width="17.7109375" style="30" customWidth="1"/>
    <col min="8" max="15" width="17.28515625" style="30" customWidth="1"/>
    <col min="16" max="16" width="15" style="30" bestFit="1" customWidth="1"/>
    <col min="17" max="17" width="9.140625" style="30"/>
    <col min="18" max="18" width="16.28515625" style="30" bestFit="1" customWidth="1"/>
    <col min="19" max="19" width="13.7109375" style="30" customWidth="1"/>
    <col min="20" max="20" width="12.5703125" style="30" customWidth="1"/>
    <col min="21" max="16384" width="9.140625" style="30"/>
  </cols>
  <sheetData>
    <row r="2" spans="1:19" x14ac:dyDescent="0.25">
      <c r="H2" s="31"/>
    </row>
    <row r="3" spans="1:19" x14ac:dyDescent="0.25">
      <c r="H3" s="31"/>
    </row>
    <row r="4" spans="1:19" x14ac:dyDescent="0.25">
      <c r="H4" s="31"/>
    </row>
    <row r="6" spans="1:19" x14ac:dyDescent="0.25">
      <c r="H6" s="32"/>
    </row>
    <row r="7" spans="1:19" ht="18.75" x14ac:dyDescent="0.3">
      <c r="D7" s="33" t="s">
        <v>0</v>
      </c>
      <c r="E7" s="3"/>
      <c r="F7" s="3"/>
      <c r="G7" s="3"/>
      <c r="H7" s="2"/>
    </row>
    <row r="8" spans="1:19" x14ac:dyDescent="0.25">
      <c r="D8" s="105" t="s">
        <v>91</v>
      </c>
      <c r="G8" s="36"/>
      <c r="H8" s="36"/>
    </row>
    <row r="9" spans="1:19" ht="18.75" x14ac:dyDescent="0.3">
      <c r="B9" s="37" t="s">
        <v>2</v>
      </c>
      <c r="D9" s="36"/>
      <c r="E9" s="36"/>
      <c r="F9" s="36"/>
      <c r="I9" s="36"/>
      <c r="N9" s="30" t="s">
        <v>3</v>
      </c>
    </row>
    <row r="10" spans="1:19" ht="21" x14ac:dyDescent="0.35">
      <c r="B10" s="38" t="s">
        <v>4</v>
      </c>
      <c r="D10" s="106" t="s">
        <v>92</v>
      </c>
      <c r="N10" s="30" t="s">
        <v>6</v>
      </c>
    </row>
    <row r="11" spans="1:19" x14ac:dyDescent="0.25">
      <c r="B11" s="38" t="s">
        <v>7</v>
      </c>
      <c r="D11" s="41"/>
      <c r="N11" s="30" t="s">
        <v>8</v>
      </c>
    </row>
    <row r="12" spans="1:19" x14ac:dyDescent="0.25">
      <c r="B12" s="38" t="s">
        <v>93</v>
      </c>
      <c r="D12" s="36"/>
      <c r="E12" s="36"/>
      <c r="F12" s="36"/>
      <c r="G12" s="36"/>
      <c r="H12" s="36"/>
      <c r="I12" s="36"/>
      <c r="J12" s="36"/>
    </row>
    <row r="13" spans="1:19" x14ac:dyDescent="0.25">
      <c r="B13" s="42" t="s">
        <v>10</v>
      </c>
      <c r="C13" s="30" t="s">
        <v>11</v>
      </c>
      <c r="D13" s="43">
        <f>IF(D19-D22=0,"",D19-D22)</f>
        <v>251153.51</v>
      </c>
      <c r="E13" s="43">
        <f t="shared" ref="E13:O13" si="0">IF(E19-E22=0,"",E19-E22)</f>
        <v>-81892.109999999986</v>
      </c>
      <c r="F13" s="43">
        <f t="shared" si="0"/>
        <v>586500.93999999994</v>
      </c>
      <c r="G13" s="43">
        <f t="shared" si="0"/>
        <v>-270785.39</v>
      </c>
      <c r="H13" s="43">
        <f t="shared" si="0"/>
        <v>-204807.47999999998</v>
      </c>
      <c r="I13" s="43">
        <f t="shared" si="0"/>
        <v>-7900.1600000000326</v>
      </c>
      <c r="J13" s="43">
        <f t="shared" si="0"/>
        <v>-28655.329999999958</v>
      </c>
      <c r="K13" s="43">
        <f t="shared" si="0"/>
        <v>60987.510000000009</v>
      </c>
      <c r="L13" s="43">
        <f>IF(L19-L22=0,"",L19-L22)</f>
        <v>-208817.41000000003</v>
      </c>
      <c r="M13" s="43">
        <f t="shared" si="0"/>
        <v>-90910.690000000061</v>
      </c>
      <c r="N13" s="43">
        <f t="shared" si="0"/>
        <v>7342.5300000000279</v>
      </c>
      <c r="O13" s="43">
        <f t="shared" si="0"/>
        <v>-7.6799999999930151</v>
      </c>
    </row>
    <row r="14" spans="1:19" x14ac:dyDescent="0.25">
      <c r="A14" s="44"/>
      <c r="B14" s="45"/>
      <c r="C14" s="46" t="s">
        <v>12</v>
      </c>
      <c r="M14" s="47"/>
      <c r="P14" s="46" t="s">
        <v>13</v>
      </c>
      <c r="S14" s="30" t="s">
        <v>13</v>
      </c>
    </row>
    <row r="15" spans="1:19" x14ac:dyDescent="0.25">
      <c r="A15" s="48" t="s">
        <v>14</v>
      </c>
      <c r="C15" s="49" t="s">
        <v>15</v>
      </c>
      <c r="D15" s="49" t="s">
        <v>16</v>
      </c>
      <c r="E15" s="6" t="s">
        <v>17</v>
      </c>
      <c r="F15" s="6" t="s">
        <v>18</v>
      </c>
      <c r="G15" s="49" t="s">
        <v>19</v>
      </c>
      <c r="H15" s="49" t="s">
        <v>20</v>
      </c>
      <c r="I15" s="49" t="s">
        <v>21</v>
      </c>
      <c r="J15" s="49" t="s">
        <v>22</v>
      </c>
      <c r="K15" s="49" t="s">
        <v>23</v>
      </c>
      <c r="L15" s="6" t="s">
        <v>24</v>
      </c>
      <c r="M15" s="6" t="s">
        <v>25</v>
      </c>
      <c r="N15" s="6" t="s">
        <v>26</v>
      </c>
      <c r="O15" s="49" t="s">
        <v>27</v>
      </c>
      <c r="P15" s="49" t="s">
        <v>28</v>
      </c>
      <c r="S15" s="30" t="s">
        <v>28</v>
      </c>
    </row>
    <row r="16" spans="1:19" x14ac:dyDescent="0.25">
      <c r="A16" s="30" t="s">
        <v>29</v>
      </c>
    </row>
    <row r="17" spans="2:20" x14ac:dyDescent="0.25">
      <c r="B17" s="30" t="s">
        <v>30</v>
      </c>
      <c r="C17" s="50">
        <v>80001024.960000023</v>
      </c>
      <c r="D17" s="52">
        <v>687807.56</v>
      </c>
      <c r="E17" s="52">
        <v>840892.3</v>
      </c>
      <c r="F17" s="52">
        <f>979297.79+136573.39</f>
        <v>1115871.1800000002</v>
      </c>
      <c r="G17" s="52">
        <v>869652.55</v>
      </c>
      <c r="H17" s="52">
        <v>837546.23</v>
      </c>
      <c r="I17" s="52">
        <v>1023132.46</v>
      </c>
      <c r="J17" s="52">
        <v>1418555.67</v>
      </c>
      <c r="K17" s="52">
        <v>1103030.1200000001</v>
      </c>
      <c r="L17" s="52">
        <f>986014.1+102609.71</f>
        <v>1088623.81</v>
      </c>
      <c r="M17" s="52">
        <v>822257.28</v>
      </c>
      <c r="N17" s="52">
        <v>604101.55999999994</v>
      </c>
      <c r="O17" s="52">
        <v>558951.6</v>
      </c>
      <c r="P17" s="53">
        <f t="shared" ref="P17:P22" si="1">SUM(C17:O17)</f>
        <v>90971447.280000031</v>
      </c>
      <c r="Q17" s="30" t="s">
        <v>31</v>
      </c>
      <c r="S17" s="36">
        <f>'[1]2013 Revised'!P9</f>
        <v>10425390.91</v>
      </c>
      <c r="T17" s="36">
        <f>S17-C17</f>
        <v>-69575634.050000027</v>
      </c>
    </row>
    <row r="18" spans="2:20" x14ac:dyDescent="0.25">
      <c r="B18" s="30" t="s">
        <v>32</v>
      </c>
      <c r="C18" s="50">
        <v>-79712207.630000025</v>
      </c>
      <c r="D18" s="4">
        <f t="shared" ref="D18:J18" si="2">-D21</f>
        <v>0</v>
      </c>
      <c r="E18" s="4">
        <f>-E21</f>
        <v>-537849.52</v>
      </c>
      <c r="F18" s="4">
        <f t="shared" si="2"/>
        <v>-534501.82999999996</v>
      </c>
      <c r="G18" s="4">
        <f>-G21</f>
        <v>-285344.76</v>
      </c>
      <c r="H18" s="4">
        <f t="shared" si="2"/>
        <v>-123583.56</v>
      </c>
      <c r="I18" s="4">
        <f t="shared" si="2"/>
        <v>-4959042.62</v>
      </c>
      <c r="J18" s="4">
        <f t="shared" si="2"/>
        <v>0</v>
      </c>
      <c r="K18" s="4">
        <f>-K21</f>
        <v>0</v>
      </c>
      <c r="L18" s="4">
        <f>-L21</f>
        <v>-285888.23</v>
      </c>
      <c r="M18" s="4">
        <f>-M21</f>
        <v>-2607500.64</v>
      </c>
      <c r="N18" s="4">
        <f>-N21</f>
        <v>-261371.86</v>
      </c>
      <c r="O18" s="4">
        <f>-O21</f>
        <v>-301886.78999999998</v>
      </c>
      <c r="P18" s="36">
        <f t="shared" si="1"/>
        <v>-89609177.440000042</v>
      </c>
      <c r="Q18" s="30" t="s">
        <v>33</v>
      </c>
      <c r="S18" s="36">
        <f>'[1]2013 Revised'!P10</f>
        <v>-9582054.1999999993</v>
      </c>
      <c r="T18" s="36">
        <f t="shared" ref="T18:T22" si="3">S18-C18</f>
        <v>70130153.430000022</v>
      </c>
    </row>
    <row r="19" spans="2:20" x14ac:dyDescent="0.25">
      <c r="B19" s="30" t="s">
        <v>34</v>
      </c>
      <c r="C19" s="54">
        <v>26436354.689999998</v>
      </c>
      <c r="D19" s="52">
        <v>251153.51</v>
      </c>
      <c r="E19" s="52">
        <v>338657.06</v>
      </c>
      <c r="F19" s="52">
        <f>953347.88+120381.84</f>
        <v>1073729.72</v>
      </c>
      <c r="G19" s="52">
        <v>714371.02</v>
      </c>
      <c r="H19" s="52">
        <v>475101.25</v>
      </c>
      <c r="I19" s="52">
        <v>446405.37</v>
      </c>
      <c r="J19" s="52">
        <v>440690.46</v>
      </c>
      <c r="K19" s="52">
        <v>482739.81</v>
      </c>
      <c r="L19" s="52">
        <f>757453.95+61870.99</f>
        <v>819324.94</v>
      </c>
      <c r="M19" s="52">
        <v>585418.94999999995</v>
      </c>
      <c r="N19" s="52">
        <v>747592.9</v>
      </c>
      <c r="O19" s="52">
        <v>498063.44</v>
      </c>
      <c r="P19" s="53">
        <f t="shared" si="1"/>
        <v>33309603.119999997</v>
      </c>
      <c r="Q19" s="30" t="s">
        <v>31</v>
      </c>
      <c r="S19" s="36">
        <f>'[1]2013 Revised'!P11</f>
        <v>3801660.4299999997</v>
      </c>
      <c r="T19" s="36">
        <f t="shared" si="3"/>
        <v>-22634694.259999998</v>
      </c>
    </row>
    <row r="20" spans="2:20" x14ac:dyDescent="0.25">
      <c r="B20" s="30" t="s">
        <v>35</v>
      </c>
      <c r="C20" s="54">
        <v>-26433705.218000002</v>
      </c>
      <c r="D20" s="4">
        <f t="shared" ref="D20:J20" si="4">-D22</f>
        <v>0</v>
      </c>
      <c r="E20" s="4">
        <f>-E22</f>
        <v>-420549.17</v>
      </c>
      <c r="F20" s="4">
        <f t="shared" si="4"/>
        <v>-487228.78</v>
      </c>
      <c r="G20" s="4">
        <f t="shared" si="4"/>
        <v>-985156.41</v>
      </c>
      <c r="H20" s="4">
        <f t="shared" si="4"/>
        <v>-679908.73</v>
      </c>
      <c r="I20" s="4">
        <f t="shared" si="4"/>
        <v>-454305.53</v>
      </c>
      <c r="J20" s="4">
        <f t="shared" si="4"/>
        <v>-469345.79</v>
      </c>
      <c r="K20" s="4">
        <f>-K22</f>
        <v>-421752.3</v>
      </c>
      <c r="L20" s="4">
        <f>-L22</f>
        <v>-1028142.35</v>
      </c>
      <c r="M20" s="4">
        <f>-M22</f>
        <v>-676329.64</v>
      </c>
      <c r="N20" s="4">
        <f>-N22</f>
        <v>-740250.37</v>
      </c>
      <c r="O20" s="4">
        <f>-O22</f>
        <v>-498071.12</v>
      </c>
      <c r="P20" s="36">
        <f t="shared" si="1"/>
        <v>-33294745.408000011</v>
      </c>
      <c r="Q20" s="30" t="s">
        <v>36</v>
      </c>
      <c r="S20" s="36">
        <f>'[1]2013 Revised'!P12</f>
        <v>-3801660.398</v>
      </c>
      <c r="T20" s="36">
        <f t="shared" si="3"/>
        <v>22632044.82</v>
      </c>
    </row>
    <row r="21" spans="2:20" x14ac:dyDescent="0.25">
      <c r="B21" s="30" t="s">
        <v>37</v>
      </c>
      <c r="C21" s="54">
        <v>79712207.630000025</v>
      </c>
      <c r="D21" s="52">
        <v>0</v>
      </c>
      <c r="E21" s="52">
        <v>537849.52</v>
      </c>
      <c r="F21" s="52">
        <v>534501.82999999996</v>
      </c>
      <c r="G21" s="52">
        <v>285344.76</v>
      </c>
      <c r="H21" s="52">
        <v>123583.56</v>
      </c>
      <c r="I21" s="52">
        <v>4959042.62</v>
      </c>
      <c r="J21" s="52">
        <v>0</v>
      </c>
      <c r="K21" s="52">
        <v>0</v>
      </c>
      <c r="L21" s="52">
        <v>285888.23</v>
      </c>
      <c r="M21" s="52">
        <v>2607500.64</v>
      </c>
      <c r="N21" s="52">
        <v>261371.86</v>
      </c>
      <c r="O21" s="52">
        <v>301886.78999999998</v>
      </c>
      <c r="P21" s="36">
        <f t="shared" si="1"/>
        <v>89609177.440000042</v>
      </c>
      <c r="Q21" s="30" t="s">
        <v>31</v>
      </c>
      <c r="R21" s="55"/>
      <c r="S21" s="36">
        <f>'[1]2013 Revised'!P13</f>
        <v>9582054.1999999993</v>
      </c>
      <c r="T21" s="36">
        <f t="shared" si="3"/>
        <v>-70130153.430000022</v>
      </c>
    </row>
    <row r="22" spans="2:20" x14ac:dyDescent="0.25">
      <c r="B22" s="30" t="s">
        <v>38</v>
      </c>
      <c r="C22" s="54">
        <v>26433705.218000002</v>
      </c>
      <c r="D22" s="52">
        <v>0</v>
      </c>
      <c r="E22" s="52">
        <v>420549.17</v>
      </c>
      <c r="F22" s="52">
        <v>487228.78</v>
      </c>
      <c r="G22" s="52">
        <v>985156.41</v>
      </c>
      <c r="H22" s="52">
        <v>679908.73</v>
      </c>
      <c r="I22" s="52">
        <v>454305.53</v>
      </c>
      <c r="J22" s="52">
        <v>469345.79</v>
      </c>
      <c r="K22" s="52">
        <v>421752.3</v>
      </c>
      <c r="L22" s="52">
        <v>1028142.35</v>
      </c>
      <c r="M22" s="52">
        <v>676329.64</v>
      </c>
      <c r="N22" s="52">
        <f>740255.42-5.05</f>
        <v>740250.37</v>
      </c>
      <c r="O22" s="52">
        <v>498071.12</v>
      </c>
      <c r="P22" s="56">
        <f t="shared" si="1"/>
        <v>33294745.408000011</v>
      </c>
      <c r="Q22" s="30" t="s">
        <v>31</v>
      </c>
      <c r="R22" s="57"/>
      <c r="S22" s="36">
        <f>'[1]2013 Revised'!P14</f>
        <v>3801660.398</v>
      </c>
      <c r="T22" s="36">
        <f t="shared" si="3"/>
        <v>-22632044.82</v>
      </c>
    </row>
    <row r="23" spans="2:20" x14ac:dyDescent="0.25">
      <c r="C23" s="8"/>
      <c r="D23" s="4"/>
      <c r="E23" s="8"/>
      <c r="F23" s="8"/>
      <c r="G23" s="8"/>
      <c r="H23" s="8"/>
      <c r="I23" s="8"/>
      <c r="J23" s="4"/>
      <c r="K23" s="8"/>
      <c r="L23" s="8"/>
      <c r="M23" s="8"/>
      <c r="N23" s="8"/>
      <c r="O23" s="8"/>
      <c r="P23" s="56"/>
      <c r="R23" s="57"/>
      <c r="S23" s="58"/>
    </row>
    <row r="24" spans="2:20" x14ac:dyDescent="0.25">
      <c r="C24" s="8"/>
      <c r="D24" s="4"/>
      <c r="E24" s="8"/>
      <c r="F24" s="8"/>
      <c r="G24" s="8"/>
      <c r="H24" s="8"/>
      <c r="I24" s="8"/>
      <c r="J24" s="4"/>
      <c r="K24" s="8"/>
      <c r="L24" s="8"/>
      <c r="M24" s="8"/>
      <c r="N24" s="8"/>
      <c r="O24" s="8"/>
      <c r="P24" s="56"/>
      <c r="R24" s="55"/>
      <c r="S24" s="58"/>
    </row>
    <row r="25" spans="2:20" x14ac:dyDescent="0.25">
      <c r="B25" s="30" t="s">
        <v>39</v>
      </c>
      <c r="C25" s="50">
        <v>288817.61999999685</v>
      </c>
      <c r="D25" s="4">
        <f>IF(ISBLANK(D17),0,SUM(D17:D18)+C25)</f>
        <v>976625.17999999691</v>
      </c>
      <c r="E25" s="4">
        <f>IF(ISBLANK(E17),0,SUM(E17:E18)+D25)</f>
        <v>1279667.9599999969</v>
      </c>
      <c r="F25" s="4">
        <f t="shared" ref="F25:N25" si="5">IF(ISBLANK(F17),0,SUM(F17:F18)+E25)</f>
        <v>1861037.3099999973</v>
      </c>
      <c r="G25" s="4">
        <f>IF(ISBLANK(G17),0,SUM(G17:G18)+F25)</f>
        <v>2445345.0999999973</v>
      </c>
      <c r="H25" s="4">
        <f t="shared" si="5"/>
        <v>3159307.7699999972</v>
      </c>
      <c r="I25" s="4">
        <f t="shared" si="5"/>
        <v>-776602.39000000292</v>
      </c>
      <c r="J25" s="4">
        <f t="shared" si="5"/>
        <v>641953.279999997</v>
      </c>
      <c r="K25" s="4">
        <f t="shared" si="5"/>
        <v>1744983.3999999971</v>
      </c>
      <c r="L25" s="4">
        <f t="shared" si="5"/>
        <v>2547718.9799999972</v>
      </c>
      <c r="M25" s="4">
        <f t="shared" si="5"/>
        <v>762475.61999999708</v>
      </c>
      <c r="N25" s="4">
        <f t="shared" si="5"/>
        <v>1105205.319999997</v>
      </c>
      <c r="O25" s="4">
        <f>IF(ISBLANK(O17),0,SUM(O17:O18)+N25)</f>
        <v>1362270.1299999971</v>
      </c>
      <c r="P25" s="36">
        <f>O25</f>
        <v>1362270.1299999971</v>
      </c>
      <c r="Q25" s="30" t="s">
        <v>40</v>
      </c>
      <c r="R25" s="55"/>
      <c r="S25" s="36">
        <f>'[1]2013 Revised'!P17</f>
        <v>843337</v>
      </c>
      <c r="T25" s="36">
        <f t="shared" ref="T25:T29" si="6">S25-C25</f>
        <v>554519.38000000315</v>
      </c>
    </row>
    <row r="26" spans="2:20" x14ac:dyDescent="0.25">
      <c r="B26" s="30" t="s">
        <v>41</v>
      </c>
      <c r="C26" s="50">
        <v>2647.359999999695</v>
      </c>
      <c r="D26" s="56">
        <f>IF(ISBLANK(D19),0,C26+SUM(D19:D20))</f>
        <v>253800.8699999997</v>
      </c>
      <c r="E26" s="56">
        <f t="shared" ref="E26:N26" si="7">IF(ISBLANK(E19),0,D26+SUM(E19:E20))</f>
        <v>171908.75999999972</v>
      </c>
      <c r="F26" s="56">
        <f t="shared" si="7"/>
        <v>758409.69999999972</v>
      </c>
      <c r="G26" s="56">
        <f t="shared" si="7"/>
        <v>487624.30999999971</v>
      </c>
      <c r="H26" s="56">
        <f t="shared" si="7"/>
        <v>282816.82999999973</v>
      </c>
      <c r="I26" s="56">
        <f t="shared" si="7"/>
        <v>274916.66999999969</v>
      </c>
      <c r="J26" s="56">
        <f t="shared" si="7"/>
        <v>246261.33999999973</v>
      </c>
      <c r="K26" s="56">
        <f t="shared" si="7"/>
        <v>307248.84999999974</v>
      </c>
      <c r="L26" s="56">
        <f t="shared" si="7"/>
        <v>98431.439999999711</v>
      </c>
      <c r="M26" s="56">
        <f t="shared" si="7"/>
        <v>7520.7499999996508</v>
      </c>
      <c r="N26" s="56">
        <f t="shared" si="7"/>
        <v>14863.279999999679</v>
      </c>
      <c r="O26" s="56">
        <f>IF(ISBLANK(O19),0,N26+SUM(O19:O20))</f>
        <v>14855.599999999686</v>
      </c>
      <c r="P26" s="36">
        <f>O26</f>
        <v>14855.599999999686</v>
      </c>
      <c r="Q26" s="30" t="s">
        <v>40</v>
      </c>
      <c r="R26" s="60"/>
      <c r="S26" s="36">
        <f>'[1]2013 Revised'!P18</f>
        <v>3.1999999977870175E-2</v>
      </c>
      <c r="T26" s="36">
        <f t="shared" si="6"/>
        <v>-2647.3279999997171</v>
      </c>
    </row>
    <row r="27" spans="2:20" x14ac:dyDescent="0.25">
      <c r="B27" s="30" t="s">
        <v>42</v>
      </c>
      <c r="C27" s="50">
        <v>79712207.630000025</v>
      </c>
      <c r="D27" s="36">
        <f>IF(ISBLANK(D21),0,C27+D21)</f>
        <v>79712207.630000025</v>
      </c>
      <c r="E27" s="36">
        <f t="shared" ref="E27:O27" si="8">IF(ISBLANK(E21),0,D27+E21)</f>
        <v>80250057.150000021</v>
      </c>
      <c r="F27" s="36">
        <f t="shared" si="8"/>
        <v>80784558.980000019</v>
      </c>
      <c r="G27" s="36">
        <f t="shared" si="8"/>
        <v>81069903.740000024</v>
      </c>
      <c r="H27" s="36">
        <f t="shared" si="8"/>
        <v>81193487.300000027</v>
      </c>
      <c r="I27" s="36">
        <f t="shared" si="8"/>
        <v>86152529.920000032</v>
      </c>
      <c r="J27" s="36">
        <f t="shared" si="8"/>
        <v>86152529.920000032</v>
      </c>
      <c r="K27" s="36">
        <f t="shared" si="8"/>
        <v>86152529.920000032</v>
      </c>
      <c r="L27" s="36">
        <f t="shared" si="8"/>
        <v>86438418.150000036</v>
      </c>
      <c r="M27" s="36">
        <f t="shared" si="8"/>
        <v>89045918.790000036</v>
      </c>
      <c r="N27" s="36">
        <f t="shared" si="8"/>
        <v>89307290.650000036</v>
      </c>
      <c r="O27" s="36">
        <f t="shared" si="8"/>
        <v>89609177.440000042</v>
      </c>
      <c r="P27" s="36">
        <f>O27</f>
        <v>89609177.440000042</v>
      </c>
      <c r="Q27" s="30" t="s">
        <v>40</v>
      </c>
      <c r="S27" s="36">
        <f>'[1]2013 Revised'!P19</f>
        <v>9582054.1999999993</v>
      </c>
      <c r="T27" s="36">
        <f t="shared" si="6"/>
        <v>-70130153.430000022</v>
      </c>
    </row>
    <row r="28" spans="2:20" x14ac:dyDescent="0.25">
      <c r="B28" s="30" t="s">
        <v>43</v>
      </c>
      <c r="C28" s="61">
        <v>26433705.218000002</v>
      </c>
      <c r="D28" s="62">
        <f>IF(ISBLANK(D22),0,D22+C28)</f>
        <v>26433705.218000002</v>
      </c>
      <c r="E28" s="62">
        <f t="shared" ref="E28:O28" si="9">IF(ISBLANK(E22),0,E22+D28)</f>
        <v>26854254.388000004</v>
      </c>
      <c r="F28" s="62">
        <f t="shared" si="9"/>
        <v>27341483.168000005</v>
      </c>
      <c r="G28" s="62">
        <f t="shared" si="9"/>
        <v>28326639.578000005</v>
      </c>
      <c r="H28" s="62">
        <f t="shared" si="9"/>
        <v>29006548.308000006</v>
      </c>
      <c r="I28" s="62">
        <f t="shared" si="9"/>
        <v>29460853.838000007</v>
      </c>
      <c r="J28" s="62">
        <f t="shared" si="9"/>
        <v>29930199.628000006</v>
      </c>
      <c r="K28" s="62">
        <f t="shared" si="9"/>
        <v>30351951.928000007</v>
      </c>
      <c r="L28" s="62">
        <f t="shared" si="9"/>
        <v>31380094.278000008</v>
      </c>
      <c r="M28" s="62">
        <f t="shared" si="9"/>
        <v>32056423.918000009</v>
      </c>
      <c r="N28" s="62">
        <f t="shared" si="9"/>
        <v>32796674.28800001</v>
      </c>
      <c r="O28" s="62">
        <f t="shared" si="9"/>
        <v>33294745.408000011</v>
      </c>
      <c r="P28" s="62">
        <f>O28</f>
        <v>33294745.408000011</v>
      </c>
      <c r="Q28" s="30" t="s">
        <v>40</v>
      </c>
      <c r="S28" s="36">
        <f>'[1]2013 Revised'!P20</f>
        <v>3801660.398</v>
      </c>
      <c r="T28" s="36">
        <f t="shared" si="6"/>
        <v>-22632044.82</v>
      </c>
    </row>
    <row r="29" spans="2:20" ht="15.75" thickBot="1" x14ac:dyDescent="0.3">
      <c r="B29" s="30" t="s">
        <v>44</v>
      </c>
      <c r="C29" s="9">
        <f>SUM(C25:C28)</f>
        <v>106437377.82800001</v>
      </c>
      <c r="D29" s="63">
        <f>SUM(D25:D28)</f>
        <v>107376338.89800003</v>
      </c>
      <c r="E29" s="63">
        <f t="shared" ref="E29:M29" si="10">SUM(E25:E28)</f>
        <v>108555888.25800002</v>
      </c>
      <c r="F29" s="63">
        <f t="shared" si="10"/>
        <v>110745489.15800002</v>
      </c>
      <c r="G29" s="63">
        <f t="shared" si="10"/>
        <v>112329512.72800003</v>
      </c>
      <c r="H29" s="63">
        <f t="shared" si="10"/>
        <v>113642160.20800003</v>
      </c>
      <c r="I29" s="63">
        <f t="shared" si="10"/>
        <v>115111698.03800005</v>
      </c>
      <c r="J29" s="63">
        <f t="shared" si="10"/>
        <v>116970944.16800003</v>
      </c>
      <c r="K29" s="63">
        <f t="shared" si="10"/>
        <v>118556714.09800003</v>
      </c>
      <c r="L29" s="63">
        <f t="shared" si="10"/>
        <v>120464662.84800005</v>
      </c>
      <c r="M29" s="63">
        <f t="shared" si="10"/>
        <v>121872339.07800004</v>
      </c>
      <c r="N29" s="63">
        <f>SUM(N25:N28)</f>
        <v>123224033.53800005</v>
      </c>
      <c r="O29" s="63">
        <f>SUM(O25:O28)</f>
        <v>124281048.57800005</v>
      </c>
      <c r="P29" s="63">
        <f>SUM(P25:P28)</f>
        <v>124281048.57800005</v>
      </c>
      <c r="S29" s="36">
        <f>'[1]2013 Revised'!P21</f>
        <v>14227051.339999998</v>
      </c>
      <c r="T29" s="36">
        <f t="shared" si="6"/>
        <v>-92210326.488000005</v>
      </c>
    </row>
    <row r="30" spans="2:20" ht="15.75" thickTop="1" x14ac:dyDescent="0.25">
      <c r="C30" s="7"/>
      <c r="D30" s="64">
        <f t="shared" ref="D30:F30" si="11">IF(ISBLANK(D17),0,D29-SUM(D17:D22)-C29)</f>
        <v>2.9802322387695313E-8</v>
      </c>
      <c r="E30" s="64">
        <f t="shared" si="11"/>
        <v>-1.4901161193847656E-8</v>
      </c>
      <c r="F30" s="64">
        <f t="shared" si="11"/>
        <v>0</v>
      </c>
      <c r="G30" s="64">
        <f>IF(ISBLANK(G17),0,G29-SUM(G17:G22)-F29)</f>
        <v>1.4901161193847656E-8</v>
      </c>
      <c r="H30" s="64">
        <f t="shared" ref="H30:O30" si="12">IF(ISBLANK(H17),0,H29-SUM(H17:H22)-G29)</f>
        <v>0</v>
      </c>
      <c r="I30" s="64">
        <f t="shared" si="12"/>
        <v>1.4901161193847656E-8</v>
      </c>
      <c r="J30" s="64">
        <f t="shared" si="12"/>
        <v>-1.4901161193847656E-8</v>
      </c>
      <c r="K30" s="64">
        <f t="shared" si="12"/>
        <v>0</v>
      </c>
      <c r="L30" s="64">
        <f t="shared" si="12"/>
        <v>1.4901161193847656E-8</v>
      </c>
      <c r="M30" s="64">
        <f t="shared" si="12"/>
        <v>-1.4901161193847656E-8</v>
      </c>
      <c r="N30" s="64">
        <f t="shared" si="12"/>
        <v>1.4901161193847656E-8</v>
      </c>
      <c r="O30" s="64">
        <f t="shared" si="12"/>
        <v>0</v>
      </c>
      <c r="P30" s="36"/>
      <c r="Q30" s="30" t="s">
        <v>45</v>
      </c>
    </row>
    <row r="31" spans="2:20" x14ac:dyDescent="0.25">
      <c r="B31" s="30" t="s">
        <v>46</v>
      </c>
      <c r="C31" s="61">
        <v>-10070403.210000005</v>
      </c>
      <c r="D31" s="56">
        <f t="shared" ref="D31:O31" si="13">C31-D49-D50</f>
        <v>-10258361.360000003</v>
      </c>
      <c r="E31" s="56">
        <f t="shared" si="13"/>
        <v>-10446319.510000002</v>
      </c>
      <c r="F31" s="56">
        <f t="shared" si="13"/>
        <v>-10635989.910000002</v>
      </c>
      <c r="G31" s="56">
        <f>F31-G49-G50</f>
        <v>-10827488.940000003</v>
      </c>
      <c r="H31" s="56">
        <f t="shared" si="13"/>
        <v>-11021293.440000003</v>
      </c>
      <c r="I31" s="56">
        <f t="shared" si="13"/>
        <v>-11216560.710000003</v>
      </c>
      <c r="J31" s="56">
        <f t="shared" si="13"/>
        <v>-11421339.210000003</v>
      </c>
      <c r="K31" s="56">
        <f t="shared" si="13"/>
        <v>-11626978.170000002</v>
      </c>
      <c r="L31" s="56">
        <f t="shared" si="13"/>
        <v>-11833390.350000001</v>
      </c>
      <c r="M31" s="56">
        <f t="shared" si="13"/>
        <v>-12042187.750000002</v>
      </c>
      <c r="N31" s="56">
        <f t="shared" si="13"/>
        <v>-12256788.220000001</v>
      </c>
      <c r="O31" s="56">
        <f t="shared" si="13"/>
        <v>-12473203.220000001</v>
      </c>
      <c r="P31" s="56">
        <f>O31</f>
        <v>-12473203.220000001</v>
      </c>
      <c r="Q31" s="30" t="s">
        <v>40</v>
      </c>
      <c r="S31" s="36">
        <f>'[1]2013 Revised'!P23</f>
        <v>-94402.466449666652</v>
      </c>
    </row>
    <row r="32" spans="2:20" ht="15.75" thickBot="1" x14ac:dyDescent="0.3">
      <c r="B32" s="30" t="s">
        <v>47</v>
      </c>
      <c r="C32" s="65">
        <f>C29+C31</f>
        <v>96366974.618000001</v>
      </c>
      <c r="D32" s="65">
        <f>D29+D31</f>
        <v>97117977.538000032</v>
      </c>
      <c r="E32" s="65">
        <f t="shared" ref="E32:N32" si="14">E29+E31</f>
        <v>98109568.748000011</v>
      </c>
      <c r="F32" s="65">
        <f t="shared" si="14"/>
        <v>100109499.24800003</v>
      </c>
      <c r="G32" s="65">
        <f t="shared" si="14"/>
        <v>101502023.78800003</v>
      </c>
      <c r="H32" s="65">
        <f t="shared" si="14"/>
        <v>102620866.76800004</v>
      </c>
      <c r="I32" s="65">
        <f t="shared" si="14"/>
        <v>103895137.32800004</v>
      </c>
      <c r="J32" s="65">
        <f t="shared" si="14"/>
        <v>105549604.95800002</v>
      </c>
      <c r="K32" s="65">
        <f t="shared" si="14"/>
        <v>106929735.92800003</v>
      </c>
      <c r="L32" s="65">
        <f t="shared" si="14"/>
        <v>108631272.49800006</v>
      </c>
      <c r="M32" s="65">
        <f t="shared" si="14"/>
        <v>109830151.32800004</v>
      </c>
      <c r="N32" s="65">
        <f t="shared" si="14"/>
        <v>110967245.31800005</v>
      </c>
      <c r="O32" s="65">
        <f>O29+O31</f>
        <v>111807845.35800005</v>
      </c>
      <c r="P32" s="65">
        <f>P29+P31</f>
        <v>111807845.35800005</v>
      </c>
      <c r="Q32" s="30" t="s">
        <v>40</v>
      </c>
      <c r="S32" s="36">
        <f>'[1]2013 Revised'!P24</f>
        <v>14132648.873550331</v>
      </c>
      <c r="T32" s="36">
        <f>S32-C32</f>
        <v>-82234325.744449675</v>
      </c>
    </row>
    <row r="33" spans="1:19" ht="16.5" thickTop="1" thickBot="1" x14ac:dyDescent="0.3">
      <c r="B33" s="58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1:19" ht="16.5" thickTop="1" thickBot="1" x14ac:dyDescent="0.3">
      <c r="B34" s="58" t="s">
        <v>48</v>
      </c>
      <c r="C34" s="56"/>
      <c r="D34" s="66">
        <f>ROUND((+C32+D32)/2,0)</f>
        <v>96742476</v>
      </c>
      <c r="E34" s="66">
        <f t="shared" ref="E34:N34" si="15">ROUND((+D32+E32)/2,0)</f>
        <v>97613773</v>
      </c>
      <c r="F34" s="66">
        <f t="shared" si="15"/>
        <v>99109534</v>
      </c>
      <c r="G34" s="66">
        <f t="shared" si="15"/>
        <v>100805762</v>
      </c>
      <c r="H34" s="66">
        <f t="shared" si="15"/>
        <v>102061445</v>
      </c>
      <c r="I34" s="66">
        <f t="shared" si="15"/>
        <v>103258002</v>
      </c>
      <c r="J34" s="66">
        <f t="shared" si="15"/>
        <v>104722371</v>
      </c>
      <c r="K34" s="66">
        <f t="shared" si="15"/>
        <v>106239670</v>
      </c>
      <c r="L34" s="66">
        <f t="shared" si="15"/>
        <v>107780504</v>
      </c>
      <c r="M34" s="66">
        <f t="shared" si="15"/>
        <v>109230712</v>
      </c>
      <c r="N34" s="66">
        <f t="shared" si="15"/>
        <v>110398698</v>
      </c>
      <c r="O34" s="66">
        <f>ROUND((+N32+O32)/2,0)</f>
        <v>111387545</v>
      </c>
      <c r="P34" s="56"/>
      <c r="Q34" s="30" t="s">
        <v>49</v>
      </c>
    </row>
    <row r="35" spans="1:19" ht="15.75" thickTop="1" x14ac:dyDescent="0.25">
      <c r="B35" s="58"/>
      <c r="C35" s="58"/>
      <c r="D35" s="67"/>
      <c r="E35" s="67"/>
      <c r="F35" s="67"/>
      <c r="G35" s="67"/>
      <c r="H35" s="67"/>
      <c r="I35" s="58"/>
    </row>
    <row r="36" spans="1:19" x14ac:dyDescent="0.25">
      <c r="A36" s="30" t="s">
        <v>50</v>
      </c>
      <c r="D36" s="67"/>
      <c r="E36" s="67"/>
      <c r="F36" s="67"/>
      <c r="G36" s="67"/>
      <c r="H36" s="67"/>
    </row>
    <row r="37" spans="1:19" x14ac:dyDescent="0.25">
      <c r="B37" s="30" t="s">
        <v>51</v>
      </c>
      <c r="D37" s="68">
        <v>2.1000000000000001E-2</v>
      </c>
      <c r="E37" s="2">
        <f>D37</f>
        <v>2.1000000000000001E-2</v>
      </c>
      <c r="F37" s="2">
        <f t="shared" ref="F37:P38" si="16">E37</f>
        <v>2.1000000000000001E-2</v>
      </c>
      <c r="G37" s="2">
        <f t="shared" si="16"/>
        <v>2.1000000000000001E-2</v>
      </c>
      <c r="H37" s="2">
        <f t="shared" si="16"/>
        <v>2.1000000000000001E-2</v>
      </c>
      <c r="I37" s="2">
        <f t="shared" si="16"/>
        <v>2.1000000000000001E-2</v>
      </c>
      <c r="J37" s="2">
        <f t="shared" si="16"/>
        <v>2.1000000000000001E-2</v>
      </c>
      <c r="K37" s="2">
        <f t="shared" si="16"/>
        <v>2.1000000000000001E-2</v>
      </c>
      <c r="L37" s="2">
        <f t="shared" si="16"/>
        <v>2.1000000000000001E-2</v>
      </c>
      <c r="M37" s="2">
        <f t="shared" si="16"/>
        <v>2.1000000000000001E-2</v>
      </c>
      <c r="N37" s="2">
        <f t="shared" si="16"/>
        <v>2.1000000000000001E-2</v>
      </c>
      <c r="O37" s="2">
        <f t="shared" si="16"/>
        <v>2.1000000000000001E-2</v>
      </c>
      <c r="P37" s="2">
        <f t="shared" si="16"/>
        <v>2.1000000000000001E-2</v>
      </c>
    </row>
    <row r="38" spans="1:19" x14ac:dyDescent="0.25">
      <c r="B38" s="30" t="s">
        <v>52</v>
      </c>
      <c r="D38" s="68">
        <v>2.1999999999999999E-2</v>
      </c>
      <c r="E38" s="2">
        <f>D38</f>
        <v>2.1999999999999999E-2</v>
      </c>
      <c r="F38" s="2">
        <f t="shared" si="16"/>
        <v>2.1999999999999999E-2</v>
      </c>
      <c r="G38" s="2">
        <f t="shared" si="16"/>
        <v>2.1999999999999999E-2</v>
      </c>
      <c r="H38" s="2">
        <f t="shared" si="16"/>
        <v>2.1999999999999999E-2</v>
      </c>
      <c r="I38" s="2">
        <f t="shared" si="16"/>
        <v>2.1999999999999999E-2</v>
      </c>
      <c r="J38" s="2">
        <f t="shared" si="16"/>
        <v>2.1999999999999999E-2</v>
      </c>
      <c r="K38" s="2">
        <f t="shared" si="16"/>
        <v>2.1999999999999999E-2</v>
      </c>
      <c r="L38" s="2">
        <f t="shared" si="16"/>
        <v>2.1999999999999999E-2</v>
      </c>
      <c r="M38" s="2">
        <f t="shared" si="16"/>
        <v>2.1999999999999999E-2</v>
      </c>
      <c r="N38" s="2">
        <f t="shared" si="16"/>
        <v>2.1999999999999999E-2</v>
      </c>
      <c r="O38" s="2">
        <f t="shared" si="16"/>
        <v>2.1999999999999999E-2</v>
      </c>
      <c r="P38" s="2">
        <f t="shared" si="16"/>
        <v>2.1999999999999999E-2</v>
      </c>
    </row>
    <row r="39" spans="1:19" x14ac:dyDescent="0.25"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</row>
    <row r="40" spans="1:19" x14ac:dyDescent="0.25">
      <c r="A40" s="30" t="s">
        <v>53</v>
      </c>
      <c r="D40" s="46"/>
    </row>
    <row r="41" spans="1:19" x14ac:dyDescent="0.25">
      <c r="B41" s="30" t="s">
        <v>54</v>
      </c>
      <c r="D41" s="69">
        <v>5.3699999999999998E-2</v>
      </c>
      <c r="E41" s="70">
        <f>D41</f>
        <v>5.3699999999999998E-2</v>
      </c>
      <c r="F41" s="70">
        <f t="shared" ref="F41:P42" si="17">E41</f>
        <v>5.3699999999999998E-2</v>
      </c>
      <c r="G41" s="70">
        <f t="shared" si="17"/>
        <v>5.3699999999999998E-2</v>
      </c>
      <c r="H41" s="70">
        <f t="shared" si="17"/>
        <v>5.3699999999999998E-2</v>
      </c>
      <c r="I41" s="70">
        <f t="shared" si="17"/>
        <v>5.3699999999999998E-2</v>
      </c>
      <c r="J41" s="70">
        <f t="shared" si="17"/>
        <v>5.3699999999999998E-2</v>
      </c>
      <c r="K41" s="70">
        <f t="shared" si="17"/>
        <v>5.3699999999999998E-2</v>
      </c>
      <c r="L41" s="70">
        <f t="shared" si="17"/>
        <v>5.3699999999999998E-2</v>
      </c>
      <c r="M41" s="70">
        <f t="shared" si="17"/>
        <v>5.3699999999999998E-2</v>
      </c>
      <c r="N41" s="70">
        <f t="shared" si="17"/>
        <v>5.3699999999999998E-2</v>
      </c>
      <c r="O41" s="70">
        <f t="shared" si="17"/>
        <v>5.3699999999999998E-2</v>
      </c>
      <c r="P41" s="70">
        <f t="shared" si="17"/>
        <v>5.3699999999999998E-2</v>
      </c>
    </row>
    <row r="42" spans="1:19" x14ac:dyDescent="0.25">
      <c r="B42" s="30" t="s">
        <v>55</v>
      </c>
      <c r="D42" s="69">
        <v>1.7600000000000001E-2</v>
      </c>
      <c r="E42" s="70">
        <f>D42</f>
        <v>1.7600000000000001E-2</v>
      </c>
      <c r="F42" s="70">
        <f t="shared" si="17"/>
        <v>1.7600000000000001E-2</v>
      </c>
      <c r="G42" s="70">
        <f t="shared" si="17"/>
        <v>1.7600000000000001E-2</v>
      </c>
      <c r="H42" s="70">
        <f t="shared" si="17"/>
        <v>1.7600000000000001E-2</v>
      </c>
      <c r="I42" s="70">
        <f t="shared" si="17"/>
        <v>1.7600000000000001E-2</v>
      </c>
      <c r="J42" s="70">
        <f t="shared" si="17"/>
        <v>1.7600000000000001E-2</v>
      </c>
      <c r="K42" s="70">
        <f t="shared" si="17"/>
        <v>1.7600000000000001E-2</v>
      </c>
      <c r="L42" s="70">
        <f t="shared" si="17"/>
        <v>1.7600000000000001E-2</v>
      </c>
      <c r="M42" s="70">
        <f t="shared" si="17"/>
        <v>1.7600000000000001E-2</v>
      </c>
      <c r="N42" s="70">
        <f t="shared" si="17"/>
        <v>1.7600000000000001E-2</v>
      </c>
      <c r="O42" s="70">
        <f t="shared" si="17"/>
        <v>1.7600000000000001E-2</v>
      </c>
      <c r="P42" s="70">
        <f t="shared" si="17"/>
        <v>1.7600000000000001E-2</v>
      </c>
    </row>
    <row r="43" spans="1:19" x14ac:dyDescent="0.25">
      <c r="D43" s="46"/>
    </row>
    <row r="44" spans="1:19" x14ac:dyDescent="0.25">
      <c r="B44" s="30" t="s">
        <v>56</v>
      </c>
      <c r="D44" s="56">
        <f t="shared" ref="D44:N44" si="18">ROUND(D34*D41/12,0)</f>
        <v>432923</v>
      </c>
      <c r="E44" s="56">
        <f t="shared" si="18"/>
        <v>436822</v>
      </c>
      <c r="F44" s="56">
        <f t="shared" si="18"/>
        <v>443515</v>
      </c>
      <c r="G44" s="56">
        <f t="shared" si="18"/>
        <v>451106</v>
      </c>
      <c r="H44" s="56">
        <f t="shared" si="18"/>
        <v>456725</v>
      </c>
      <c r="I44" s="56">
        <f t="shared" si="18"/>
        <v>462080</v>
      </c>
      <c r="J44" s="56">
        <f t="shared" si="18"/>
        <v>468633</v>
      </c>
      <c r="K44" s="56">
        <f t="shared" si="18"/>
        <v>475423</v>
      </c>
      <c r="L44" s="56">
        <f t="shared" si="18"/>
        <v>482318</v>
      </c>
      <c r="M44" s="56">
        <f t="shared" si="18"/>
        <v>488807</v>
      </c>
      <c r="N44" s="56">
        <f t="shared" si="18"/>
        <v>494034</v>
      </c>
      <c r="O44" s="56">
        <f>ROUND(O34*O41/12,0)</f>
        <v>498459</v>
      </c>
      <c r="P44" s="36">
        <f>SUM(D44:O44)</f>
        <v>5590845</v>
      </c>
      <c r="Q44" s="30" t="s">
        <v>49</v>
      </c>
      <c r="S44" s="36">
        <f>'[1]2013 Revised'!P36</f>
        <v>550881.63992333331</v>
      </c>
    </row>
    <row r="45" spans="1:19" x14ac:dyDescent="0.25">
      <c r="B45" s="30" t="s">
        <v>57</v>
      </c>
      <c r="D45" s="62">
        <f>ROUND(D34*D42/12,0)</f>
        <v>141889</v>
      </c>
      <c r="E45" s="62">
        <f t="shared" ref="E45:O45" si="19">ROUND(E34*E42/12,0)</f>
        <v>143167</v>
      </c>
      <c r="F45" s="62">
        <f t="shared" si="19"/>
        <v>145361</v>
      </c>
      <c r="G45" s="62">
        <f t="shared" si="19"/>
        <v>147848</v>
      </c>
      <c r="H45" s="62">
        <f t="shared" si="19"/>
        <v>149690</v>
      </c>
      <c r="I45" s="62">
        <f t="shared" si="19"/>
        <v>151445</v>
      </c>
      <c r="J45" s="62">
        <f t="shared" si="19"/>
        <v>153593</v>
      </c>
      <c r="K45" s="62">
        <f t="shared" si="19"/>
        <v>155818</v>
      </c>
      <c r="L45" s="62">
        <f t="shared" si="19"/>
        <v>158078</v>
      </c>
      <c r="M45" s="62">
        <f t="shared" si="19"/>
        <v>160205</v>
      </c>
      <c r="N45" s="62">
        <f t="shared" si="19"/>
        <v>161918</v>
      </c>
      <c r="O45" s="62">
        <f t="shared" si="19"/>
        <v>163368</v>
      </c>
      <c r="P45" s="62">
        <f>SUM(D45:O45)</f>
        <v>1832380</v>
      </c>
      <c r="Q45" s="30" t="s">
        <v>49</v>
      </c>
      <c r="S45" s="36">
        <f>'[1]2013 Revised'!P37</f>
        <v>145668.86316666665</v>
      </c>
    </row>
    <row r="46" spans="1:19" ht="15.75" thickBot="1" x14ac:dyDescent="0.3">
      <c r="B46" s="30" t="s">
        <v>58</v>
      </c>
      <c r="D46" s="63">
        <f>SUM(D44:D45)</f>
        <v>574812</v>
      </c>
      <c r="E46" s="63">
        <f t="shared" ref="E46:N46" si="20">SUM(E44:E45)</f>
        <v>579989</v>
      </c>
      <c r="F46" s="63">
        <f t="shared" si="20"/>
        <v>588876</v>
      </c>
      <c r="G46" s="63">
        <f t="shared" si="20"/>
        <v>598954</v>
      </c>
      <c r="H46" s="63">
        <f t="shared" si="20"/>
        <v>606415</v>
      </c>
      <c r="I46" s="63">
        <f t="shared" si="20"/>
        <v>613525</v>
      </c>
      <c r="J46" s="63">
        <f t="shared" si="20"/>
        <v>622226</v>
      </c>
      <c r="K46" s="63">
        <f t="shared" si="20"/>
        <v>631241</v>
      </c>
      <c r="L46" s="63">
        <f t="shared" si="20"/>
        <v>640396</v>
      </c>
      <c r="M46" s="63">
        <f t="shared" si="20"/>
        <v>649012</v>
      </c>
      <c r="N46" s="63">
        <f t="shared" si="20"/>
        <v>655952</v>
      </c>
      <c r="O46" s="63">
        <f>SUM(O44:O45)</f>
        <v>661827</v>
      </c>
      <c r="P46" s="65">
        <f>SUM(P44:P45)</f>
        <v>7423225</v>
      </c>
      <c r="Q46" s="30" t="s">
        <v>59</v>
      </c>
      <c r="S46" s="36">
        <f>'[1]2013 Revised'!P38</f>
        <v>696550.50309000001</v>
      </c>
    </row>
    <row r="47" spans="1:19" ht="15.75" thickTop="1" x14ac:dyDescent="0.25">
      <c r="D47" s="31"/>
    </row>
    <row r="48" spans="1:19" x14ac:dyDescent="0.25">
      <c r="A48" s="30" t="s">
        <v>60</v>
      </c>
      <c r="D48" s="31"/>
    </row>
    <row r="49" spans="1:19" x14ac:dyDescent="0.25">
      <c r="B49" s="30" t="s">
        <v>61</v>
      </c>
      <c r="C49" s="1"/>
      <c r="D49" s="8">
        <f>ROUND(SUM(C27*(D37/12)),2)</f>
        <v>139496.35999999999</v>
      </c>
      <c r="E49" s="8">
        <f t="shared" ref="E49:O50" si="21">ROUND(SUM(D27*(E37/12)),2)</f>
        <v>139496.35999999999</v>
      </c>
      <c r="F49" s="8">
        <f t="shared" si="21"/>
        <v>140437.6</v>
      </c>
      <c r="G49" s="8">
        <f t="shared" si="21"/>
        <v>141372.98000000001</v>
      </c>
      <c r="H49" s="8">
        <f t="shared" si="21"/>
        <v>141872.32999999999</v>
      </c>
      <c r="I49" s="8">
        <f t="shared" si="21"/>
        <v>142088.6</v>
      </c>
      <c r="J49" s="8">
        <f t="shared" si="21"/>
        <v>150766.93</v>
      </c>
      <c r="K49" s="8">
        <f t="shared" si="21"/>
        <v>150766.93</v>
      </c>
      <c r="L49" s="8">
        <f t="shared" si="21"/>
        <v>150766.93</v>
      </c>
      <c r="M49" s="8">
        <f t="shared" si="21"/>
        <v>151267.23000000001</v>
      </c>
      <c r="N49" s="8">
        <f t="shared" si="21"/>
        <v>155830.35999999999</v>
      </c>
      <c r="O49" s="8">
        <f>ROUND(SUM(N27*(O37/12)),2)</f>
        <v>156287.76</v>
      </c>
      <c r="P49" s="36">
        <f>SUM(D49:O49)</f>
        <v>1760450.3699999999</v>
      </c>
      <c r="Q49" s="30" t="s">
        <v>62</v>
      </c>
      <c r="S49" s="36">
        <f>'[1]2013 Revised'!P41</f>
        <v>60328.131416666671</v>
      </c>
    </row>
    <row r="50" spans="1:19" x14ac:dyDescent="0.25">
      <c r="B50" s="30" t="s">
        <v>63</v>
      </c>
      <c r="C50" s="1"/>
      <c r="D50" s="8">
        <f>ROUND(SUM(C28*(D38/12)),2)</f>
        <v>48461.79</v>
      </c>
      <c r="E50" s="8">
        <f t="shared" si="21"/>
        <v>48461.79</v>
      </c>
      <c r="F50" s="8">
        <f t="shared" si="21"/>
        <v>49232.800000000003</v>
      </c>
      <c r="G50" s="8">
        <f t="shared" si="21"/>
        <v>50126.05</v>
      </c>
      <c r="H50" s="8">
        <f t="shared" si="21"/>
        <v>51932.17</v>
      </c>
      <c r="I50" s="8">
        <f t="shared" si="21"/>
        <v>53178.67</v>
      </c>
      <c r="J50" s="8">
        <f t="shared" si="21"/>
        <v>54011.57</v>
      </c>
      <c r="K50" s="8">
        <f t="shared" si="21"/>
        <v>54872.03</v>
      </c>
      <c r="L50" s="8">
        <f t="shared" si="21"/>
        <v>55645.25</v>
      </c>
      <c r="M50" s="8">
        <f t="shared" si="21"/>
        <v>57530.17</v>
      </c>
      <c r="N50" s="8">
        <f t="shared" si="21"/>
        <v>58770.11</v>
      </c>
      <c r="O50" s="8">
        <f t="shared" si="21"/>
        <v>60127.24</v>
      </c>
      <c r="P50" s="36">
        <f>SUM(D50:O50)</f>
        <v>642349.64</v>
      </c>
      <c r="Q50" s="30" t="s">
        <v>62</v>
      </c>
      <c r="S50" s="36">
        <f>'[1]2013 Revised'!P42</f>
        <v>33207.335033000003</v>
      </c>
    </row>
    <row r="51" spans="1:19" x14ac:dyDescent="0.25">
      <c r="B51" s="30" t="s">
        <v>64</v>
      </c>
      <c r="C51" s="68">
        <v>0.02</v>
      </c>
      <c r="D51" s="8">
        <f>ROUND($C32*(+$C51/12),2)</f>
        <v>160611.62</v>
      </c>
      <c r="E51" s="8">
        <f t="shared" ref="E51:O51" si="22">ROUND($C32*(+$C51/12),2)</f>
        <v>160611.62</v>
      </c>
      <c r="F51" s="8">
        <f t="shared" si="22"/>
        <v>160611.62</v>
      </c>
      <c r="G51" s="8">
        <f t="shared" si="22"/>
        <v>160611.62</v>
      </c>
      <c r="H51" s="8">
        <f t="shared" si="22"/>
        <v>160611.62</v>
      </c>
      <c r="I51" s="8">
        <f t="shared" si="22"/>
        <v>160611.62</v>
      </c>
      <c r="J51" s="8">
        <f t="shared" si="22"/>
        <v>160611.62</v>
      </c>
      <c r="K51" s="8">
        <f t="shared" si="22"/>
        <v>160611.62</v>
      </c>
      <c r="L51" s="8">
        <f t="shared" si="22"/>
        <v>160611.62</v>
      </c>
      <c r="M51" s="8">
        <f t="shared" si="22"/>
        <v>160611.62</v>
      </c>
      <c r="N51" s="8">
        <f t="shared" si="22"/>
        <v>160611.62</v>
      </c>
      <c r="O51" s="8">
        <f t="shared" si="22"/>
        <v>160611.62</v>
      </c>
      <c r="P51" s="36">
        <f>SUM(D51:O51)</f>
        <v>1927339.4400000004</v>
      </c>
      <c r="Q51" s="30" t="s">
        <v>62</v>
      </c>
      <c r="S51" s="36">
        <f>'[1]2013 Revised'!P43</f>
        <v>32679.122000000003</v>
      </c>
    </row>
    <row r="52" spans="1:19" x14ac:dyDescent="0.25">
      <c r="B52" s="30" t="s">
        <v>65</v>
      </c>
      <c r="D52" s="71">
        <v>0</v>
      </c>
      <c r="E52" s="71">
        <v>681.08</v>
      </c>
      <c r="F52" s="71">
        <v>1736.53</v>
      </c>
      <c r="G52" s="71">
        <v>2645.79</v>
      </c>
      <c r="H52" s="71">
        <v>0</v>
      </c>
      <c r="I52" s="71">
        <v>0</v>
      </c>
      <c r="J52" s="71">
        <v>3028.45</v>
      </c>
      <c r="K52" s="71">
        <v>0</v>
      </c>
      <c r="L52" s="71">
        <v>675.88</v>
      </c>
      <c r="M52" s="71">
        <v>735</v>
      </c>
      <c r="N52" s="71">
        <v>566.42999999999995</v>
      </c>
      <c r="O52" s="71">
        <v>1300.44</v>
      </c>
      <c r="P52" s="36">
        <f>SUM(D52:O52)</f>
        <v>11369.6</v>
      </c>
      <c r="Q52" s="30" t="s">
        <v>31</v>
      </c>
      <c r="S52" s="36">
        <f>'[1]2013 Revised'!P44</f>
        <v>1640.79</v>
      </c>
    </row>
    <row r="53" spans="1:19" x14ac:dyDescent="0.25">
      <c r="B53" s="30" t="s">
        <v>66</v>
      </c>
      <c r="D53" s="71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62">
        <f>SUM(D53:O53)</f>
        <v>0</v>
      </c>
      <c r="Q53" s="30" t="s">
        <v>31</v>
      </c>
      <c r="S53" s="36">
        <f>'[1]2013 Revised'!P45</f>
        <v>5380.98</v>
      </c>
    </row>
    <row r="54" spans="1:19" ht="15.75" thickBot="1" x14ac:dyDescent="0.3">
      <c r="B54" s="30" t="s">
        <v>67</v>
      </c>
      <c r="D54" s="65">
        <f>SUM(D49:D53)</f>
        <v>348569.77</v>
      </c>
      <c r="E54" s="65">
        <f t="shared" ref="E54:O54" si="23">SUM(E49:E53)</f>
        <v>349250.85000000003</v>
      </c>
      <c r="F54" s="65">
        <f t="shared" si="23"/>
        <v>352018.55000000005</v>
      </c>
      <c r="G54" s="65">
        <f t="shared" si="23"/>
        <v>354756.44</v>
      </c>
      <c r="H54" s="65">
        <f t="shared" si="23"/>
        <v>354416.12</v>
      </c>
      <c r="I54" s="65">
        <f t="shared" si="23"/>
        <v>355878.89</v>
      </c>
      <c r="J54" s="10">
        <f t="shared" si="23"/>
        <v>368418.57</v>
      </c>
      <c r="K54" s="65">
        <f t="shared" si="23"/>
        <v>366250.57999999996</v>
      </c>
      <c r="L54" s="65">
        <f t="shared" si="23"/>
        <v>367699.68</v>
      </c>
      <c r="M54" s="65">
        <f t="shared" si="23"/>
        <v>370144.02</v>
      </c>
      <c r="N54" s="65">
        <f t="shared" si="23"/>
        <v>375778.51999999996</v>
      </c>
      <c r="O54" s="65">
        <f t="shared" si="23"/>
        <v>378327.06</v>
      </c>
      <c r="P54" s="63">
        <f>SUM(P49:P53)</f>
        <v>4341509.05</v>
      </c>
      <c r="Q54" s="30" t="s">
        <v>59</v>
      </c>
      <c r="S54" s="36">
        <f>'[1]2013 Revised'!P46</f>
        <v>0</v>
      </c>
    </row>
    <row r="55" spans="1:19" ht="15.75" thickTop="1" x14ac:dyDescent="0.25">
      <c r="D55" s="72"/>
    </row>
    <row r="56" spans="1:19" ht="15.75" thickBot="1" x14ac:dyDescent="0.3">
      <c r="A56" s="30" t="s">
        <v>68</v>
      </c>
      <c r="D56" s="63">
        <f>D46+D54</f>
        <v>923381.77</v>
      </c>
      <c r="E56" s="63">
        <f t="shared" ref="E56:P56" si="24">E46+E54</f>
        <v>929239.85000000009</v>
      </c>
      <c r="F56" s="63">
        <f t="shared" si="24"/>
        <v>940894.55</v>
      </c>
      <c r="G56" s="63">
        <f t="shared" si="24"/>
        <v>953710.44</v>
      </c>
      <c r="H56" s="63">
        <f t="shared" si="24"/>
        <v>960831.12</v>
      </c>
      <c r="I56" s="63">
        <f t="shared" si="24"/>
        <v>969403.89</v>
      </c>
      <c r="J56" s="63">
        <f t="shared" si="24"/>
        <v>990644.57000000007</v>
      </c>
      <c r="K56" s="63">
        <f t="shared" si="24"/>
        <v>997491.58</v>
      </c>
      <c r="L56" s="63">
        <f t="shared" si="24"/>
        <v>1008095.6799999999</v>
      </c>
      <c r="M56" s="63">
        <f t="shared" si="24"/>
        <v>1019156.02</v>
      </c>
      <c r="N56" s="63">
        <f t="shared" si="24"/>
        <v>1031730.52</v>
      </c>
      <c r="O56" s="63">
        <f>O46+O54</f>
        <v>1040154.06</v>
      </c>
      <c r="P56" s="63">
        <f t="shared" si="24"/>
        <v>11764734.050000001</v>
      </c>
      <c r="Q56" s="30" t="s">
        <v>40</v>
      </c>
      <c r="S56" s="36">
        <f>'[1]2013 Revised'!P48</f>
        <v>0</v>
      </c>
    </row>
    <row r="57" spans="1:19" ht="15.75" thickTop="1" x14ac:dyDescent="0.25">
      <c r="D57" s="72"/>
    </row>
    <row r="58" spans="1:19" x14ac:dyDescent="0.25">
      <c r="A58" s="30" t="s">
        <v>69</v>
      </c>
      <c r="D58" s="56">
        <v>62310</v>
      </c>
      <c r="E58" s="56">
        <v>62310</v>
      </c>
      <c r="F58" s="56">
        <v>62310</v>
      </c>
      <c r="G58" s="56">
        <v>62310</v>
      </c>
      <c r="H58" s="56">
        <v>62310</v>
      </c>
      <c r="I58" s="56">
        <v>62310</v>
      </c>
      <c r="J58" s="56">
        <v>62310</v>
      </c>
      <c r="K58" s="56">
        <v>62310</v>
      </c>
      <c r="L58" s="56">
        <v>62310</v>
      </c>
      <c r="M58" s="56">
        <v>62310</v>
      </c>
      <c r="N58" s="56">
        <v>62310</v>
      </c>
      <c r="O58" s="56">
        <v>62317</v>
      </c>
      <c r="P58" s="36">
        <f>SUM(D58:O58)</f>
        <v>747727</v>
      </c>
      <c r="Q58" s="30" t="s">
        <v>70</v>
      </c>
      <c r="S58" s="36">
        <f>'[1]2013 Revised'!P50</f>
        <v>0</v>
      </c>
    </row>
    <row r="59" spans="1:19" s="73" customFormat="1" x14ac:dyDescent="0.25">
      <c r="A59" s="73" t="s">
        <v>71</v>
      </c>
      <c r="D59" s="74">
        <f>+D56-D58</f>
        <v>861071.77</v>
      </c>
      <c r="E59" s="74">
        <f t="shared" ref="E59:L59" si="25">+E56-E58</f>
        <v>866929.85000000009</v>
      </c>
      <c r="F59" s="74">
        <f t="shared" si="25"/>
        <v>878584.55</v>
      </c>
      <c r="G59" s="74">
        <f t="shared" si="25"/>
        <v>891400.44</v>
      </c>
      <c r="H59" s="74">
        <f t="shared" si="25"/>
        <v>898521.12</v>
      </c>
      <c r="I59" s="74">
        <f t="shared" si="25"/>
        <v>907093.89</v>
      </c>
      <c r="J59" s="74">
        <f t="shared" si="25"/>
        <v>928334.57000000007</v>
      </c>
      <c r="K59" s="74">
        <f t="shared" si="25"/>
        <v>935181.58</v>
      </c>
      <c r="L59" s="74">
        <f t="shared" si="25"/>
        <v>945785.67999999993</v>
      </c>
      <c r="M59" s="74">
        <f>+M56-M58</f>
        <v>956846.02</v>
      </c>
      <c r="N59" s="74">
        <f>+N56-N58</f>
        <v>969420.52</v>
      </c>
      <c r="O59" s="74">
        <f>+O56-O58</f>
        <v>977837.06</v>
      </c>
      <c r="P59" s="74">
        <f>+P56-P58</f>
        <v>11017007.050000001</v>
      </c>
      <c r="Q59" s="73" t="s">
        <v>40</v>
      </c>
      <c r="S59" s="74">
        <f>'[1]2013 Revised'!P51</f>
        <v>747727</v>
      </c>
    </row>
    <row r="60" spans="1:19" x14ac:dyDescent="0.25">
      <c r="P60" s="46"/>
    </row>
    <row r="61" spans="1:19" x14ac:dyDescent="0.25">
      <c r="A61" s="30" t="s">
        <v>72</v>
      </c>
      <c r="D61" s="75">
        <v>1093356.07</v>
      </c>
      <c r="E61" s="75">
        <v>1000600.07</v>
      </c>
      <c r="F61" s="75">
        <v>926137.29</v>
      </c>
      <c r="G61" s="75">
        <v>744984.18</v>
      </c>
      <c r="H61" s="75">
        <v>710325.57</v>
      </c>
      <c r="I61" s="75">
        <v>649754.66</v>
      </c>
      <c r="J61" s="75">
        <v>649217.07999999996</v>
      </c>
      <c r="K61" s="75">
        <v>614631.16</v>
      </c>
      <c r="L61" s="75">
        <v>613462.56999999995</v>
      </c>
      <c r="M61" s="75">
        <v>646946.27</v>
      </c>
      <c r="N61" s="75">
        <v>768246.45</v>
      </c>
      <c r="O61" s="75">
        <v>998580.03</v>
      </c>
      <c r="P61" s="76">
        <f>SUM(D61:O61)</f>
        <v>9416241.4000000004</v>
      </c>
      <c r="Q61" s="30" t="s">
        <v>31</v>
      </c>
      <c r="S61" s="36">
        <f>'[1]2013 Revised'!P53</f>
        <v>0</v>
      </c>
    </row>
    <row r="62" spans="1:19" x14ac:dyDescent="0.25">
      <c r="A62" s="30" t="s">
        <v>73</v>
      </c>
      <c r="D62" s="12">
        <v>1.0050300000000001</v>
      </c>
      <c r="E62" s="12">
        <v>1.0050300000000001</v>
      </c>
      <c r="F62" s="12">
        <v>1.0050300000000001</v>
      </c>
      <c r="G62" s="12">
        <v>1.0050300000000001</v>
      </c>
      <c r="H62" s="12">
        <v>1.0050300000000001</v>
      </c>
      <c r="I62" s="12">
        <v>1.0050300000000001</v>
      </c>
      <c r="J62" s="12">
        <v>1.0050300000000001</v>
      </c>
      <c r="K62" s="12">
        <v>1.0050300000000001</v>
      </c>
      <c r="L62" s="12">
        <v>1.0050300000000001</v>
      </c>
      <c r="M62" s="12">
        <v>1.0050300000000001</v>
      </c>
      <c r="N62" s="12">
        <v>1.0050300000000001</v>
      </c>
      <c r="O62" s="12">
        <v>1.0050300000000001</v>
      </c>
      <c r="P62" s="77">
        <v>1.0050300000000001</v>
      </c>
    </row>
    <row r="63" spans="1:19" ht="15.75" thickBot="1" x14ac:dyDescent="0.3">
      <c r="A63" s="30" t="s">
        <v>74</v>
      </c>
      <c r="C63" s="46"/>
      <c r="D63" s="78">
        <f t="shared" ref="D63:P63" si="26">D61/D62</f>
        <v>1087884.013412535</v>
      </c>
      <c r="E63" s="78">
        <f t="shared" si="26"/>
        <v>995592.24102763087</v>
      </c>
      <c r="F63" s="78">
        <f t="shared" si="26"/>
        <v>921502.13426464878</v>
      </c>
      <c r="G63" s="78">
        <f t="shared" si="26"/>
        <v>741255.66401002952</v>
      </c>
      <c r="H63" s="78">
        <f t="shared" si="26"/>
        <v>706770.51431300549</v>
      </c>
      <c r="I63" s="78">
        <f t="shared" si="26"/>
        <v>646502.75116165681</v>
      </c>
      <c r="J63" s="78">
        <f t="shared" si="26"/>
        <v>645967.86165587092</v>
      </c>
      <c r="K63" s="78">
        <f t="shared" si="26"/>
        <v>611555.03815806494</v>
      </c>
      <c r="L63" s="78">
        <f t="shared" si="26"/>
        <v>610392.29674736073</v>
      </c>
      <c r="M63" s="78">
        <f t="shared" si="26"/>
        <v>643708.41666417918</v>
      </c>
      <c r="N63" s="78">
        <f t="shared" si="26"/>
        <v>764401.51040267444</v>
      </c>
      <c r="O63" s="78">
        <f t="shared" si="26"/>
        <v>993582.31097579165</v>
      </c>
      <c r="P63" s="78">
        <f t="shared" si="26"/>
        <v>9369114.752793448</v>
      </c>
    </row>
    <row r="64" spans="1:19" ht="15.75" thickTop="1" x14ac:dyDescent="0.25">
      <c r="C64" s="79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1:20" x14ac:dyDescent="0.25">
      <c r="A65" s="30" t="s">
        <v>75</v>
      </c>
      <c r="C65" s="79"/>
      <c r="D65" s="13">
        <f>IF(D63=0,0,ROUND(D59-D63,0))</f>
        <v>-226812</v>
      </c>
      <c r="E65" s="80">
        <f>IF(E63=0,0,ROUND(E59-E63,0))</f>
        <v>-128662</v>
      </c>
      <c r="F65" s="13">
        <f t="shared" ref="F65:N65" si="27">IF(F63=0,0,ROUND(F59-F63,0))</f>
        <v>-42918</v>
      </c>
      <c r="G65" s="80">
        <f t="shared" si="27"/>
        <v>150145</v>
      </c>
      <c r="H65" s="80">
        <f>IF(H63=0,0,ROUND(H59-H63,0))</f>
        <v>191751</v>
      </c>
      <c r="I65" s="80">
        <f t="shared" si="27"/>
        <v>260591</v>
      </c>
      <c r="J65" s="80">
        <f t="shared" si="27"/>
        <v>282367</v>
      </c>
      <c r="K65" s="80">
        <f>IF(K63=0,0,ROUND(K59-K63,0))</f>
        <v>323627</v>
      </c>
      <c r="L65" s="80">
        <f t="shared" si="27"/>
        <v>335393</v>
      </c>
      <c r="M65" s="14">
        <f t="shared" si="27"/>
        <v>313138</v>
      </c>
      <c r="N65" s="13">
        <f t="shared" si="27"/>
        <v>205019</v>
      </c>
      <c r="O65" s="107">
        <f>IF(O63=0,0,ROUND(O59-O63,0))</f>
        <v>-15745</v>
      </c>
      <c r="P65" s="80">
        <f t="shared" ref="P65" si="28">IF(P63=0,0,ROUND(P59-P61,0))</f>
        <v>1600766</v>
      </c>
      <c r="Q65" s="30" t="s">
        <v>49</v>
      </c>
      <c r="S65" s="36">
        <f>'[1]2013 Revised'!P57</f>
        <v>-175578</v>
      </c>
      <c r="T65" s="36">
        <f t="shared" ref="T65:T68" si="29">S65-C65</f>
        <v>-175578</v>
      </c>
    </row>
    <row r="66" spans="1:20" x14ac:dyDescent="0.25">
      <c r="A66" s="30" t="s">
        <v>76</v>
      </c>
      <c r="C66" s="79"/>
      <c r="D66" s="13">
        <f t="shared" ref="D66:O66" si="30">IF(D61=0,0,ROUND((((+C68+D65)+C68)/2)*D74,0))</f>
        <v>-2764</v>
      </c>
      <c r="E66" s="80">
        <f t="shared" si="30"/>
        <v>-2914</v>
      </c>
      <c r="F66" s="13">
        <f t="shared" si="30"/>
        <v>-3357</v>
      </c>
      <c r="G66" s="80">
        <f>IF(G61=0,0,ROUND((((+F68+G65)+F68)/2)*G74,0))</f>
        <v>-2045</v>
      </c>
      <c r="H66" s="80">
        <f>IF(H61=0,0,ROUND((((+G68+H65)+G68)/2)*H74,0))</f>
        <v>-298</v>
      </c>
      <c r="I66" s="80">
        <f t="shared" si="30"/>
        <v>-171</v>
      </c>
      <c r="J66" s="80">
        <f t="shared" si="30"/>
        <v>-131</v>
      </c>
      <c r="K66" s="81">
        <f>IF(K61=0,0,ROUND((((+J68+K65)+J68)/2)*K74,0))</f>
        <v>-106</v>
      </c>
      <c r="L66" s="81">
        <f t="shared" si="30"/>
        <v>-70</v>
      </c>
      <c r="M66" s="15">
        <f t="shared" si="30"/>
        <v>-47</v>
      </c>
      <c r="N66" s="15">
        <f t="shared" si="30"/>
        <v>-33</v>
      </c>
      <c r="O66" s="108">
        <f t="shared" si="30"/>
        <v>-26</v>
      </c>
      <c r="P66" s="41">
        <f>SUM(C66:O66)</f>
        <v>-11962</v>
      </c>
      <c r="Q66" s="30" t="s">
        <v>49</v>
      </c>
      <c r="S66" s="36">
        <f>'[1]2013 Revised'!P58</f>
        <v>-406</v>
      </c>
      <c r="T66" s="36">
        <f t="shared" si="29"/>
        <v>-406</v>
      </c>
    </row>
    <row r="67" spans="1:20" x14ac:dyDescent="0.25">
      <c r="A67" s="30" t="s">
        <v>77</v>
      </c>
      <c r="C67" s="79"/>
      <c r="D67" s="80"/>
      <c r="E67" s="80"/>
      <c r="F67" s="13"/>
      <c r="G67" s="80"/>
      <c r="H67" s="80"/>
      <c r="I67" s="80"/>
      <c r="J67" s="80"/>
      <c r="K67" s="81"/>
      <c r="L67" s="81"/>
      <c r="M67" s="81"/>
      <c r="N67" s="81"/>
      <c r="O67" s="81"/>
      <c r="P67" s="41"/>
      <c r="S67" s="36"/>
      <c r="T67" s="36"/>
    </row>
    <row r="68" spans="1:20" ht="15.75" thickBot="1" x14ac:dyDescent="0.3">
      <c r="A68" s="30" t="s">
        <v>78</v>
      </c>
      <c r="C68" s="82">
        <v>-1965077</v>
      </c>
      <c r="D68" s="83">
        <f>+C68+D65+D66+D67</f>
        <v>-2194653</v>
      </c>
      <c r="E68" s="83">
        <f>+D68+E65+E66+E67</f>
        <v>-2326229</v>
      </c>
      <c r="F68" s="83">
        <f>+E68+F65+F66</f>
        <v>-2372504</v>
      </c>
      <c r="G68" s="83">
        <f t="shared" ref="G68:N68" si="31">+F68+G65+G66</f>
        <v>-2224404</v>
      </c>
      <c r="H68" s="83">
        <f t="shared" si="31"/>
        <v>-2032951</v>
      </c>
      <c r="I68" s="83">
        <f t="shared" si="31"/>
        <v>-1772531</v>
      </c>
      <c r="J68" s="83">
        <f>+I68+J65+J66+J67</f>
        <v>-1490295</v>
      </c>
      <c r="K68" s="26">
        <f>+J68+K65+K66+K67</f>
        <v>-1166774</v>
      </c>
      <c r="L68" s="26">
        <f>+K68+L65+L66</f>
        <v>-831451</v>
      </c>
      <c r="M68" s="26">
        <f t="shared" si="31"/>
        <v>-518360</v>
      </c>
      <c r="N68" s="26">
        <f t="shared" si="31"/>
        <v>-313374</v>
      </c>
      <c r="O68" s="109">
        <f>+N68+O65+O66+O67</f>
        <v>-329145</v>
      </c>
      <c r="P68" s="83">
        <f>+O68</f>
        <v>-329145</v>
      </c>
      <c r="S68" s="36">
        <f>'[1]2013 Revised'!P59</f>
        <v>-419678.97</v>
      </c>
      <c r="T68" s="36">
        <f t="shared" si="29"/>
        <v>1545398.03</v>
      </c>
    </row>
    <row r="69" spans="1:20" ht="15.75" thickTop="1" x14ac:dyDescent="0.25">
      <c r="B69" s="84" t="s">
        <v>79</v>
      </c>
      <c r="C69" s="85"/>
      <c r="D69" s="86">
        <v>-2271220</v>
      </c>
      <c r="E69" s="86">
        <v>-2378476</v>
      </c>
      <c r="F69" s="86">
        <v>-2400827</v>
      </c>
      <c r="G69" s="86">
        <v>-2325536</v>
      </c>
      <c r="H69" s="86">
        <v>-2134097</v>
      </c>
      <c r="I69" s="17">
        <v>-1875145</v>
      </c>
      <c r="J69" s="86">
        <v>-1603850</v>
      </c>
      <c r="K69" s="86">
        <v>-1292065</v>
      </c>
      <c r="L69" s="86">
        <v>-933118</v>
      </c>
      <c r="M69" s="17">
        <v>-619545</v>
      </c>
      <c r="N69" s="86">
        <v>-313374</v>
      </c>
      <c r="O69" s="86"/>
      <c r="P69" s="41"/>
    </row>
    <row r="70" spans="1:20" x14ac:dyDescent="0.25">
      <c r="B70" s="84" t="s">
        <v>80</v>
      </c>
      <c r="C70" s="88" t="str">
        <f>IF(ISBLANK(C69),"",C68-C69)</f>
        <v/>
      </c>
      <c r="D70" s="88">
        <f>IF(ISBLANK(D69),"",D68-D69)</f>
        <v>76567</v>
      </c>
      <c r="E70" s="88">
        <f t="shared" ref="E70:O70" si="32">IF(ISBLANK(E69),"",E68-E69)</f>
        <v>52247</v>
      </c>
      <c r="F70" s="88">
        <f t="shared" si="32"/>
        <v>28323</v>
      </c>
      <c r="G70" s="88">
        <f t="shared" si="32"/>
        <v>101132</v>
      </c>
      <c r="H70" s="88">
        <f t="shared" si="32"/>
        <v>101146</v>
      </c>
      <c r="I70" s="88">
        <f t="shared" si="32"/>
        <v>102614</v>
      </c>
      <c r="J70" s="88">
        <f t="shared" si="32"/>
        <v>113555</v>
      </c>
      <c r="K70" s="88">
        <f t="shared" si="32"/>
        <v>125291</v>
      </c>
      <c r="L70" s="18">
        <f t="shared" si="32"/>
        <v>101667</v>
      </c>
      <c r="M70" s="110">
        <f>IF(ISBLANK(M69),"",M68-M69)</f>
        <v>101185</v>
      </c>
      <c r="N70" s="110">
        <f>IF(ISBLANK(N69),"",N68-N69)</f>
        <v>0</v>
      </c>
      <c r="O70" s="88" t="str">
        <f t="shared" si="32"/>
        <v/>
      </c>
      <c r="P70" s="41"/>
    </row>
    <row r="71" spans="1:20" x14ac:dyDescent="0.25">
      <c r="F71" s="80"/>
      <c r="O71" s="41"/>
      <c r="P71" s="41"/>
    </row>
    <row r="72" spans="1:20" x14ac:dyDescent="0.25">
      <c r="A72" s="30" t="s">
        <v>81</v>
      </c>
      <c r="D72" s="111">
        <v>1.5900000000000001E-2</v>
      </c>
      <c r="E72" s="21">
        <f>+D73</f>
        <v>1.5900000000000001E-2</v>
      </c>
      <c r="F72" s="21">
        <f>+E73</f>
        <v>1.5100000000000001E-2</v>
      </c>
      <c r="G72" s="21">
        <f t="shared" ref="G72:O72" si="33">+F73</f>
        <v>1.9099999999999999E-2</v>
      </c>
      <c r="H72" s="21">
        <f t="shared" si="33"/>
        <v>2.2000000000000001E-3</v>
      </c>
      <c r="I72" s="21">
        <f t="shared" si="33"/>
        <v>1.1000000000000001E-3</v>
      </c>
      <c r="J72" s="21">
        <f t="shared" si="33"/>
        <v>1E-3</v>
      </c>
      <c r="K72" s="21">
        <f t="shared" si="33"/>
        <v>1E-3</v>
      </c>
      <c r="L72" s="21">
        <f t="shared" si="33"/>
        <v>8.0000000000000004E-4</v>
      </c>
      <c r="M72" s="21">
        <f t="shared" si="33"/>
        <v>8.0000000000000004E-4</v>
      </c>
      <c r="N72" s="21">
        <f t="shared" si="33"/>
        <v>8.9999999999999998E-4</v>
      </c>
      <c r="O72" s="21">
        <f t="shared" si="33"/>
        <v>8.9999999999999998E-4</v>
      </c>
    </row>
    <row r="73" spans="1:20" x14ac:dyDescent="0.25">
      <c r="A73" s="30" t="s">
        <v>82</v>
      </c>
      <c r="D73" s="90">
        <v>1.5900000000000001E-2</v>
      </c>
      <c r="E73" s="90">
        <v>1.5100000000000001E-2</v>
      </c>
      <c r="F73" s="90">
        <v>1.9099999999999999E-2</v>
      </c>
      <c r="G73" s="90">
        <v>2.2000000000000001E-3</v>
      </c>
      <c r="H73" s="90">
        <v>1.1000000000000001E-3</v>
      </c>
      <c r="I73" s="90">
        <v>1E-3</v>
      </c>
      <c r="J73" s="90">
        <v>1E-3</v>
      </c>
      <c r="K73" s="90">
        <v>8.0000000000000004E-4</v>
      </c>
      <c r="L73" s="90">
        <v>8.0000000000000004E-4</v>
      </c>
      <c r="M73" s="90">
        <v>8.9999999999999998E-4</v>
      </c>
      <c r="N73" s="90">
        <v>8.9999999999999998E-4</v>
      </c>
      <c r="O73" s="90">
        <v>8.9999999999999998E-4</v>
      </c>
    </row>
    <row r="74" spans="1:20" x14ac:dyDescent="0.25">
      <c r="A74" s="30" t="s">
        <v>83</v>
      </c>
      <c r="D74" s="91">
        <f>ROUND(((+D73+D72)/2)/12,5)</f>
        <v>1.33E-3</v>
      </c>
      <c r="E74" s="91">
        <f t="shared" ref="E74:O74" si="34">ROUND(((+E73+E72)/2)/12,5)</f>
        <v>1.2899999999999999E-3</v>
      </c>
      <c r="F74" s="91">
        <f t="shared" si="34"/>
        <v>1.4300000000000001E-3</v>
      </c>
      <c r="G74" s="91">
        <f t="shared" si="34"/>
        <v>8.8999999999999995E-4</v>
      </c>
      <c r="H74" s="91">
        <f t="shared" si="34"/>
        <v>1.3999999999999999E-4</v>
      </c>
      <c r="I74" s="91">
        <f t="shared" si="34"/>
        <v>9.0000000000000006E-5</v>
      </c>
      <c r="J74" s="91">
        <f t="shared" si="34"/>
        <v>8.0000000000000007E-5</v>
      </c>
      <c r="K74" s="91">
        <f t="shared" si="34"/>
        <v>8.0000000000000007E-5</v>
      </c>
      <c r="L74" s="91">
        <f t="shared" si="34"/>
        <v>6.9999999999999994E-5</v>
      </c>
      <c r="M74" s="91">
        <f t="shared" si="34"/>
        <v>6.9999999999999994E-5</v>
      </c>
      <c r="N74" s="91">
        <f t="shared" si="34"/>
        <v>8.0000000000000007E-5</v>
      </c>
      <c r="O74" s="91">
        <f t="shared" si="34"/>
        <v>8.0000000000000007E-5</v>
      </c>
    </row>
    <row r="75" spans="1:20" x14ac:dyDescent="0.25">
      <c r="B75" s="84"/>
      <c r="D75" s="92"/>
      <c r="E75" s="92"/>
      <c r="F75" s="92"/>
      <c r="G75" s="92"/>
      <c r="H75" s="92"/>
      <c r="I75" s="92"/>
      <c r="J75" s="92"/>
      <c r="K75" s="92"/>
      <c r="L75" s="92"/>
      <c r="M75" s="88"/>
      <c r="N75" s="92"/>
      <c r="O75" s="92"/>
    </row>
    <row r="76" spans="1:20" x14ac:dyDescent="0.25">
      <c r="B76" s="22"/>
      <c r="C76" s="93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1"/>
      <c r="Q76" s="1"/>
    </row>
    <row r="77" spans="1:20" ht="15.75" customHeight="1" x14ac:dyDescent="0.25">
      <c r="B77" s="84"/>
      <c r="C77" s="84"/>
      <c r="D77" s="89"/>
      <c r="E77" s="89"/>
      <c r="F77" s="89"/>
      <c r="G77" s="89"/>
      <c r="H77" s="89"/>
      <c r="I77" s="89"/>
      <c r="J77" s="89"/>
      <c r="K77" s="89"/>
      <c r="L77" s="19"/>
      <c r="M77" s="19"/>
      <c r="N77" s="19"/>
      <c r="O77" s="19"/>
      <c r="P77" s="23"/>
      <c r="Q77" s="1"/>
    </row>
    <row r="78" spans="1:20" hidden="1" x14ac:dyDescent="0.25">
      <c r="A78" s="1"/>
      <c r="D78" s="94"/>
      <c r="E78" s="80"/>
      <c r="F78" s="80"/>
      <c r="G78" s="80"/>
      <c r="H78" s="80"/>
      <c r="I78" s="80"/>
      <c r="J78" s="80"/>
      <c r="K78" s="80"/>
      <c r="L78" s="1"/>
      <c r="M78" s="1"/>
      <c r="N78" s="19"/>
      <c r="O78" s="19"/>
      <c r="P78" s="23"/>
      <c r="Q78" s="1"/>
      <c r="S78" s="36"/>
    </row>
    <row r="79" spans="1:20" hidden="1" x14ac:dyDescent="0.25">
      <c r="B79" s="84"/>
      <c r="C79" s="84"/>
      <c r="D79" s="95"/>
      <c r="E79" s="88"/>
      <c r="F79" s="88"/>
      <c r="G79" s="88"/>
      <c r="H79" s="88"/>
      <c r="I79" s="88"/>
      <c r="J79" s="88"/>
      <c r="K79" s="88"/>
      <c r="L79" s="18"/>
      <c r="M79" s="18"/>
      <c r="N79" s="18"/>
      <c r="O79" s="1"/>
      <c r="P79" s="1"/>
      <c r="Q79" s="1"/>
    </row>
    <row r="80" spans="1:20" ht="15.75" hidden="1" thickBot="1" x14ac:dyDescent="0.3">
      <c r="B80" s="84"/>
      <c r="C80" s="16"/>
      <c r="D80" s="83"/>
      <c r="E80" s="83"/>
      <c r="F80" s="83"/>
      <c r="G80" s="83"/>
      <c r="H80" s="83"/>
      <c r="I80" s="83"/>
      <c r="J80" s="83"/>
      <c r="K80" s="83"/>
      <c r="L80" s="89"/>
      <c r="M80" s="89"/>
      <c r="N80" s="89"/>
      <c r="O80" s="18"/>
      <c r="P80" s="23"/>
      <c r="Q80" s="1"/>
    </row>
    <row r="81" spans="2:17" hidden="1" x14ac:dyDescent="0.25">
      <c r="B81" s="16"/>
      <c r="C81" s="16"/>
      <c r="D81" s="18"/>
      <c r="E81" s="18"/>
      <c r="F81" s="18"/>
      <c r="G81" s="18"/>
      <c r="H81" s="18"/>
      <c r="I81" s="18"/>
      <c r="J81" s="18"/>
      <c r="K81" s="27"/>
      <c r="L81" s="18"/>
      <c r="M81" s="18"/>
      <c r="N81" s="18"/>
      <c r="O81" s="18"/>
      <c r="P81" s="1"/>
      <c r="Q81" s="1"/>
    </row>
    <row r="82" spans="2:17" hidden="1" x14ac:dyDescent="0.25">
      <c r="B82" s="16"/>
      <c r="C82" s="16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23"/>
      <c r="Q82" s="1"/>
    </row>
    <row r="83" spans="2:17" hidden="1" x14ac:dyDescent="0.25">
      <c r="D83" s="94"/>
      <c r="E83" s="94"/>
      <c r="F83" s="94"/>
      <c r="G83" s="94"/>
      <c r="H83" s="94"/>
      <c r="I83" s="94"/>
      <c r="J83" s="94"/>
      <c r="K83" s="94"/>
    </row>
    <row r="84" spans="2:17" hidden="1" x14ac:dyDescent="0.25">
      <c r="B84" s="84"/>
      <c r="D84" s="95"/>
      <c r="E84" s="95"/>
      <c r="F84" s="95"/>
      <c r="G84" s="95"/>
      <c r="H84" s="95"/>
      <c r="I84" s="95"/>
      <c r="J84" s="95"/>
      <c r="K84" s="95"/>
    </row>
    <row r="85" spans="2:17" ht="15.75" hidden="1" thickBot="1" x14ac:dyDescent="0.3">
      <c r="B85" s="84"/>
      <c r="D85" s="83"/>
      <c r="E85" s="83"/>
      <c r="F85" s="83"/>
      <c r="G85" s="83"/>
      <c r="H85" s="83"/>
      <c r="I85" s="83"/>
      <c r="J85" s="83"/>
      <c r="K85" s="83"/>
    </row>
    <row r="86" spans="2:17" ht="15.75" hidden="1" thickBot="1" x14ac:dyDescent="0.3">
      <c r="B86" s="84"/>
      <c r="D86" s="83"/>
      <c r="E86" s="83"/>
      <c r="F86" s="83"/>
      <c r="G86" s="83"/>
      <c r="H86" s="83"/>
      <c r="I86" s="83"/>
      <c r="J86" s="83"/>
      <c r="K86" s="83"/>
    </row>
    <row r="87" spans="2:17" hidden="1" x14ac:dyDescent="0.25">
      <c r="G87" s="41"/>
      <c r="K87" s="41"/>
    </row>
    <row r="88" spans="2:17" x14ac:dyDescent="0.25">
      <c r="G88" s="41"/>
      <c r="O88" s="41"/>
    </row>
    <row r="89" spans="2:17" x14ac:dyDescent="0.25">
      <c r="B89" s="84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96"/>
      <c r="O89" s="41"/>
    </row>
    <row r="90" spans="2:17" x14ac:dyDescent="0.25">
      <c r="B90" s="84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96"/>
      <c r="O90" s="41"/>
    </row>
    <row r="91" spans="2:17" x14ac:dyDescent="0.25">
      <c r="G91" s="41"/>
      <c r="O91" s="41"/>
    </row>
    <row r="92" spans="2:17" x14ac:dyDescent="0.25">
      <c r="D92" s="41"/>
      <c r="E92" s="41"/>
      <c r="F92" s="41"/>
      <c r="G92" s="41"/>
      <c r="H92" s="41"/>
      <c r="I92" s="41"/>
      <c r="J92" s="41"/>
      <c r="K92" s="41"/>
      <c r="O92" s="41"/>
    </row>
    <row r="93" spans="2:17" x14ac:dyDescent="0.25">
      <c r="G93" s="41"/>
      <c r="O93" s="41"/>
    </row>
    <row r="94" spans="2:17" x14ac:dyDescent="0.25">
      <c r="O94" s="41"/>
    </row>
    <row r="95" spans="2:17" s="97" customFormat="1" x14ac:dyDescent="0.25"/>
    <row r="96" spans="2:17" s="97" customFormat="1" x14ac:dyDescent="0.25">
      <c r="O96" s="98"/>
    </row>
    <row r="97" spans="2:6" s="97" customFormat="1" x14ac:dyDescent="0.25"/>
    <row r="98" spans="2:6" s="97" customFormat="1" x14ac:dyDescent="0.25"/>
    <row r="99" spans="2:6" s="97" customFormat="1" x14ac:dyDescent="0.25"/>
    <row r="100" spans="2:6" s="97" customFormat="1" x14ac:dyDescent="0.25"/>
    <row r="101" spans="2:6" s="97" customFormat="1" x14ac:dyDescent="0.25"/>
    <row r="102" spans="2:6" s="97" customFormat="1" x14ac:dyDescent="0.25"/>
    <row r="103" spans="2:6" s="97" customFormat="1" x14ac:dyDescent="0.25"/>
    <row r="104" spans="2:6" s="97" customFormat="1" x14ac:dyDescent="0.25"/>
    <row r="105" spans="2:6" s="97" customFormat="1" x14ac:dyDescent="0.25">
      <c r="F105" s="99">
        <v>1293720</v>
      </c>
    </row>
    <row r="106" spans="2:6" s="97" customFormat="1" x14ac:dyDescent="0.25">
      <c r="F106" s="99">
        <v>-1622865</v>
      </c>
    </row>
    <row r="107" spans="2:6" s="97" customFormat="1" ht="15.75" thickBot="1" x14ac:dyDescent="0.3">
      <c r="F107" s="100">
        <f>SUM(F105:F106)</f>
        <v>-329145</v>
      </c>
    </row>
    <row r="108" spans="2:6" s="97" customFormat="1" ht="15.75" thickTop="1" x14ac:dyDescent="0.25"/>
    <row r="109" spans="2:6" s="97" customFormat="1" x14ac:dyDescent="0.25">
      <c r="B109" s="101" t="s">
        <v>86</v>
      </c>
    </row>
    <row r="110" spans="2:6" s="97" customFormat="1" x14ac:dyDescent="0.25"/>
    <row r="111" spans="2:6" s="97" customFormat="1" x14ac:dyDescent="0.25"/>
    <row r="112" spans="2:6" s="97" customFormat="1" x14ac:dyDescent="0.25"/>
    <row r="113" spans="1:14" s="97" customFormat="1" x14ac:dyDescent="0.25"/>
    <row r="114" spans="1:14" s="97" customFormat="1" x14ac:dyDescent="0.25"/>
    <row r="115" spans="1:14" s="97" customFormat="1" x14ac:dyDescent="0.25"/>
    <row r="116" spans="1:14" s="97" customFormat="1" x14ac:dyDescent="0.25"/>
    <row r="117" spans="1:14" s="97" customFormat="1" x14ac:dyDescent="0.25"/>
    <row r="118" spans="1:14" s="97" customFormat="1" x14ac:dyDescent="0.25"/>
    <row r="119" spans="1:14" s="97" customFormat="1" x14ac:dyDescent="0.25">
      <c r="M119" s="103" t="s">
        <v>87</v>
      </c>
      <c r="N119" s="104">
        <f>1003320-1622865</f>
        <v>-619545</v>
      </c>
    </row>
    <row r="120" spans="1:14" s="97" customFormat="1" x14ac:dyDescent="0.25">
      <c r="M120" s="103" t="s">
        <v>88</v>
      </c>
      <c r="N120" s="98">
        <f>+M68-M68</f>
        <v>0</v>
      </c>
    </row>
    <row r="121" spans="1:14" s="97" customFormat="1" x14ac:dyDescent="0.25">
      <c r="A121" s="97" t="s">
        <v>89</v>
      </c>
    </row>
    <row r="122" spans="1:14" s="97" customFormat="1" x14ac:dyDescent="0.25"/>
    <row r="123" spans="1:14" s="97" customFormat="1" x14ac:dyDescent="0.25"/>
    <row r="124" spans="1:14" s="97" customFormat="1" x14ac:dyDescent="0.25"/>
    <row r="125" spans="1:14" s="97" customFormat="1" x14ac:dyDescent="0.25"/>
    <row r="126" spans="1:14" s="97" customFormat="1" x14ac:dyDescent="0.25"/>
    <row r="127" spans="1:14" s="97" customFormat="1" x14ac:dyDescent="0.25"/>
    <row r="128" spans="1:14" s="97" customFormat="1" x14ac:dyDescent="0.25"/>
    <row r="129" s="97" customFormat="1" x14ac:dyDescent="0.25"/>
    <row r="130" s="97" customFormat="1" x14ac:dyDescent="0.25"/>
    <row r="131" s="97" customFormat="1" x14ac:dyDescent="0.25"/>
    <row r="132" s="97" customFormat="1" x14ac:dyDescent="0.25"/>
    <row r="133" s="97" customFormat="1" x14ac:dyDescent="0.25"/>
    <row r="134" s="97" customFormat="1" x14ac:dyDescent="0.25"/>
    <row r="135" s="97" customFormat="1" x14ac:dyDescent="0.25"/>
    <row r="136" s="97" customFormat="1" x14ac:dyDescent="0.25"/>
    <row r="137" s="97" customFormat="1" x14ac:dyDescent="0.25"/>
    <row r="138" s="97" customFormat="1" x14ac:dyDescent="0.25"/>
    <row r="139" s="97" customFormat="1" x14ac:dyDescent="0.25"/>
    <row r="140" s="97" customFormat="1" x14ac:dyDescent="0.25"/>
    <row r="141" s="97" customFormat="1" x14ac:dyDescent="0.25"/>
    <row r="142" s="97" customFormat="1" x14ac:dyDescent="0.25"/>
    <row r="143" s="97" customFormat="1" x14ac:dyDescent="0.25"/>
    <row r="144" s="97" customFormat="1" x14ac:dyDescent="0.25"/>
    <row r="145" s="97" customFormat="1" x14ac:dyDescent="0.25"/>
    <row r="146" s="97" customFormat="1" x14ac:dyDescent="0.25"/>
    <row r="147" s="97" customFormat="1" x14ac:dyDescent="0.25"/>
    <row r="148" s="97" customFormat="1" x14ac:dyDescent="0.25"/>
    <row r="149" s="97" customFormat="1" x14ac:dyDescent="0.25"/>
    <row r="150" s="97" customFormat="1" x14ac:dyDescent="0.25"/>
    <row r="151" s="97" customFormat="1" x14ac:dyDescent="0.25"/>
    <row r="152" s="97" customFormat="1" x14ac:dyDescent="0.25"/>
    <row r="153" s="97" customFormat="1" x14ac:dyDescent="0.25"/>
    <row r="154" s="97" customFormat="1" x14ac:dyDescent="0.25"/>
    <row r="155" s="97" customFormat="1" x14ac:dyDescent="0.25"/>
    <row r="156" s="97" customFormat="1" x14ac:dyDescent="0.25"/>
    <row r="157" s="97" customFormat="1" x14ac:dyDescent="0.25"/>
    <row r="158" s="97" customFormat="1" x14ac:dyDescent="0.25"/>
    <row r="159" s="97" customFormat="1" x14ac:dyDescent="0.25"/>
    <row r="160" s="97" customFormat="1" x14ac:dyDescent="0.25"/>
    <row r="161" s="97" customFormat="1" x14ac:dyDescent="0.25"/>
  </sheetData>
  <conditionalFormatting sqref="N120">
    <cfRule type="cellIs" dxfId="0" priority="1" operator="notEqual">
      <formula>0</formula>
    </cfRule>
  </conditionalFormatting>
  <pageMargins left="0.25" right="0.25" top="0.75" bottom="0.75" header="0.3" footer="0.3"/>
  <pageSetup scale="45" fitToHeight="0" orientation="landscape" r:id="rId1"/>
  <drawing r:id="rId2"/>
  <legacyDrawing r:id="rId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 A C T I V E ! 1 5 6 5 1 9 8 9 . 1 < / d o c u m e n t i d >  
     < s e n d e r i d > K E A B E T < / s e n d e r i d >  
     < s e n d e r e m a i l > B K E A T I N G @ G U N S T E R . C O M < / s e n d e r e m a i l >  
     < l a s t m o d i f i e d > 2 0 2 2 - 0 6 - 2 1 T 1 1 : 1 5 : 1 7 . 0 0 0 0 0 0 0 - 0 4 : 0 0 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2021 RevEquity&amp;Debt Rate&amp;PP (5</vt:lpstr>
      <vt:lpstr>2020 RevEquity&amp;Debt Rate&amp;PP Oct</vt:lpstr>
      <vt:lpstr>'2020 RevEquity&amp;Debt Rate&amp;PP Oct'!Print_Area</vt:lpstr>
      <vt:lpstr>'2021 RevEquity&amp;Debt Rate&amp;PP (5'!Print_Area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Onsomu, Philip</cp:lastModifiedBy>
  <dcterms:created xsi:type="dcterms:W3CDTF">2022-06-20T15:39:09Z</dcterms:created>
  <dcterms:modified xsi:type="dcterms:W3CDTF">2022-06-21T15:15:17Z</dcterms:modified>
</cp:coreProperties>
</file>