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ate Proceedings\2022 Natural Gas 20220067-GU\ROG's and POD's\OPC\ROG's 1-120\Filing\"/>
    </mc:Choice>
  </mc:AlternateContent>
  <bookViews>
    <workbookView xWindow="0" yWindow="0" windowWidth="17280" windowHeight="7035"/>
  </bookViews>
  <sheets>
    <sheet name="Reconciliation" sheetId="30" r:id="rId1"/>
    <sheet name="PIPING FN__ INPUT" sheetId="28" r:id="rId2"/>
    <sheet name="PIPING FN__ AMORT" sheetId="29" r:id="rId3"/>
    <sheet name="CONV FN__ INPUT" sheetId="43" r:id="rId4"/>
    <sheet name="CONV FN__ AMORT" sheetId="44" r:id="rId5"/>
    <sheet name="Data" sheetId="52" r:id="rId6"/>
    <sheet name="Notes" sheetId="37" r:id="rId7"/>
  </sheets>
  <definedNames>
    <definedName name="_121.AMORT_98">#REF!</definedName>
    <definedName name="_121_ACCT_BAL_9">#REF!</definedName>
    <definedName name="_121_JUL_DEC_96">#REF!</definedName>
    <definedName name="_121ACCT_BAL_95">#REF!</definedName>
    <definedName name="_121ACCT_BAL_96">#REF!</definedName>
    <definedName name="_121AMORT_98">#REF!</definedName>
    <definedName name="_121AMORT95">#REF!</definedName>
    <definedName name="_121AMORT95_96">#REF!</definedName>
    <definedName name="_121AMORT96">#REF!</definedName>
    <definedName name="_121AMORT97">#REF!</definedName>
    <definedName name="_121AMORTIZATIO">#REF!</definedName>
    <definedName name="_123_ACCT_BAL_9">#REF!</definedName>
    <definedName name="_123_JUL_DEC_96">#REF!</definedName>
    <definedName name="_123ACCT_BAL_95">#REF!</definedName>
    <definedName name="_123ACCT_BAL_96">#REF!</definedName>
    <definedName name="_123ACT_BAL_98">#REF!</definedName>
    <definedName name="_123AMORT_98">#REF!</definedName>
    <definedName name="_123AMORT95_96">#REF!</definedName>
    <definedName name="_123AMORTIZATIO">#REF!</definedName>
    <definedName name="_126_ACCT_BAL_9">#REF!</definedName>
    <definedName name="_126_JUL_DEC_96">#REF!</definedName>
    <definedName name="_126ACCT_BAL_95">#REF!</definedName>
    <definedName name="_126ACCT_BAL_96">#REF!</definedName>
    <definedName name="_126AMORT_98">#REF!</definedName>
    <definedName name="_126AMORT95_96">#REF!</definedName>
    <definedName name="_126AMORTIZATIO">#REF!</definedName>
    <definedName name="_xlnm._FilterDatabase" localSheetId="5" hidden="1">Data!$A$1:$A$27</definedName>
    <definedName name="FERNANDIN">#REF!</definedName>
    <definedName name="_xlnm.Print_Area" localSheetId="4">'CONV FN__ AMORT'!$A$1:$W$162</definedName>
    <definedName name="_xlnm.Print_Area" localSheetId="3">'CONV FN__ INPUT'!$A$1:$R$23</definedName>
    <definedName name="_xlnm.Print_Area" localSheetId="5">Data!$A$39:$G$88</definedName>
    <definedName name="_xlnm.Print_Area" localSheetId="2">'PIPING FN__ AMORT'!$A$1:$W$187</definedName>
    <definedName name="_xlnm.Print_Area" localSheetId="1">'PIPING FN__ INPUT'!$A$1:$P$24</definedName>
    <definedName name="_xlnm.Print_Area" localSheetId="0">Reconciliation!$A$1:$H$59</definedName>
    <definedName name="_xlnm.Print_Area">#REF!</definedName>
    <definedName name="PRINT_AREA_MI">#REF!</definedName>
    <definedName name="_xlnm.Print_Titles" localSheetId="4">'CONV FN__ AMORT'!$1:$7</definedName>
    <definedName name="_xlnm.Print_Titles" localSheetId="2">'PIPING FN__ AMORT'!$1:$7</definedName>
    <definedName name="_xlnm.Print_Titles">#REF!</definedName>
    <definedName name="SUM_JUL_DEC_96">#REF!</definedName>
    <definedName name="SUMMARY_1998">#REF!</definedName>
    <definedName name="SUMMARY_95">#REF!</definedName>
    <definedName name="SUMMARY_96">#REF!</definedName>
    <definedName name="SUMMARY_97">#REF!</definedName>
  </definedNames>
  <calcPr calcId="162913"/>
  <pivotCaches>
    <pivotCache cacheId="0" r:id="rId8"/>
  </pivotCaches>
</workbook>
</file>

<file path=xl/calcChain.xml><?xml version="1.0" encoding="utf-8"?>
<calcChain xmlns="http://schemas.openxmlformats.org/spreadsheetml/2006/main">
  <c r="H57" i="30" l="1"/>
  <c r="P19" i="43"/>
  <c r="E86" i="52"/>
  <c r="K39" i="52"/>
  <c r="A28" i="52"/>
  <c r="A29" i="52"/>
  <c r="A30" i="52"/>
  <c r="A31" i="52"/>
  <c r="A32" i="52"/>
  <c r="A33" i="52"/>
  <c r="A34" i="52"/>
  <c r="A35" i="52"/>
  <c r="A36" i="52"/>
  <c r="A37" i="52"/>
  <c r="A38" i="52"/>
  <c r="J184" i="29"/>
  <c r="E19" i="30"/>
  <c r="D15" i="28"/>
  <c r="F15" i="28"/>
  <c r="J166" i="29"/>
  <c r="J167" i="29"/>
  <c r="J168" i="29"/>
  <c r="J169" i="29"/>
  <c r="J170" i="29"/>
  <c r="J171" i="29"/>
  <c r="J172" i="29"/>
  <c r="P8" i="28"/>
  <c r="N8" i="28"/>
  <c r="P8" i="43"/>
  <c r="B141" i="44"/>
  <c r="B142" i="44"/>
  <c r="B143" i="44"/>
  <c r="B144" i="44" s="1"/>
  <c r="B145" i="44" s="1"/>
  <c r="B146" i="44" s="1"/>
  <c r="B147" i="44" s="1"/>
  <c r="B148" i="44" s="1"/>
  <c r="B149" i="44" s="1"/>
  <c r="B150" i="44" s="1"/>
  <c r="B151" i="44" s="1"/>
  <c r="B152" i="44" s="1"/>
  <c r="B165" i="29"/>
  <c r="D177" i="29"/>
  <c r="A153" i="44"/>
  <c r="J173" i="29"/>
  <c r="J174" i="29"/>
  <c r="J175" i="29"/>
  <c r="J176" i="29"/>
  <c r="C165" i="29"/>
  <c r="H165" i="29" s="1"/>
  <c r="C166" i="29"/>
  <c r="H166" i="29"/>
  <c r="C167" i="29"/>
  <c r="H167" i="29" s="1"/>
  <c r="C168" i="29"/>
  <c r="H168" i="29" s="1"/>
  <c r="C169" i="29"/>
  <c r="H169" i="29" s="1"/>
  <c r="C170" i="29"/>
  <c r="H170" i="29"/>
  <c r="C171" i="29"/>
  <c r="C172" i="29"/>
  <c r="H172" i="29" s="1"/>
  <c r="C173" i="29"/>
  <c r="H173" i="29"/>
  <c r="C174" i="29"/>
  <c r="H174" i="29" s="1"/>
  <c r="C175" i="29"/>
  <c r="H175" i="29"/>
  <c r="C176" i="29"/>
  <c r="H176" i="29" s="1"/>
  <c r="C141" i="44"/>
  <c r="J141" i="44" s="1"/>
  <c r="C142" i="44"/>
  <c r="H142" i="44" s="1"/>
  <c r="C143" i="44"/>
  <c r="H143" i="44"/>
  <c r="C144" i="44"/>
  <c r="H144" i="44" s="1"/>
  <c r="C145" i="44"/>
  <c r="H145" i="44"/>
  <c r="C146" i="44"/>
  <c r="H146" i="44" s="1"/>
  <c r="C147" i="44"/>
  <c r="H147" i="44"/>
  <c r="C148" i="44"/>
  <c r="H148" i="44" s="1"/>
  <c r="C149" i="44"/>
  <c r="H149" i="44"/>
  <c r="C150" i="44"/>
  <c r="C151" i="44"/>
  <c r="H151" i="44" s="1"/>
  <c r="C152" i="44"/>
  <c r="H152" i="44" s="1"/>
  <c r="J152" i="44"/>
  <c r="J151" i="44"/>
  <c r="J150" i="44"/>
  <c r="J149" i="44"/>
  <c r="J148" i="44"/>
  <c r="J147" i="44"/>
  <c r="J146" i="44"/>
  <c r="J145" i="44"/>
  <c r="J144" i="44"/>
  <c r="J143" i="44"/>
  <c r="J142" i="44"/>
  <c r="A2" i="52"/>
  <c r="A3" i="52"/>
  <c r="A4" i="52"/>
  <c r="A5" i="52"/>
  <c r="A6" i="52"/>
  <c r="A7" i="52"/>
  <c r="A8" i="52"/>
  <c r="A9" i="52"/>
  <c r="A10" i="52"/>
  <c r="A11" i="52"/>
  <c r="A12" i="52"/>
  <c r="A13" i="52"/>
  <c r="A14" i="52"/>
  <c r="A15" i="52"/>
  <c r="A16" i="52"/>
  <c r="A17" i="52"/>
  <c r="A18" i="52"/>
  <c r="A19" i="52"/>
  <c r="A20" i="52"/>
  <c r="A21" i="52"/>
  <c r="A22" i="52"/>
  <c r="A23" i="52"/>
  <c r="A24" i="52"/>
  <c r="A25" i="52"/>
  <c r="A26" i="52"/>
  <c r="A27" i="52"/>
  <c r="C42" i="52"/>
  <c r="K7" i="44"/>
  <c r="K151" i="44" s="1"/>
  <c r="C8" i="44"/>
  <c r="H8" i="44"/>
  <c r="E8" i="44"/>
  <c r="J8" i="44" s="1"/>
  <c r="C9" i="44"/>
  <c r="H9" i="44" s="1"/>
  <c r="E9" i="44"/>
  <c r="C10" i="44"/>
  <c r="H10" i="44" s="1"/>
  <c r="E10" i="44"/>
  <c r="C11" i="44"/>
  <c r="H11" i="44"/>
  <c r="E11" i="44"/>
  <c r="C12" i="44"/>
  <c r="H12" i="44"/>
  <c r="E12" i="44"/>
  <c r="C13" i="44"/>
  <c r="H13" i="44"/>
  <c r="E13" i="44"/>
  <c r="J13" i="44"/>
  <c r="G13" i="44" s="1"/>
  <c r="C14" i="44"/>
  <c r="H14" i="44"/>
  <c r="E14" i="44"/>
  <c r="C15" i="44"/>
  <c r="H15" i="44"/>
  <c r="E15" i="44"/>
  <c r="J15" i="44" s="1"/>
  <c r="G15" i="44" s="1"/>
  <c r="C16" i="44"/>
  <c r="H16" i="44"/>
  <c r="E16" i="44"/>
  <c r="J16" i="44" s="1"/>
  <c r="G16" i="44" s="1"/>
  <c r="C17" i="44"/>
  <c r="H17" i="44"/>
  <c r="E17" i="44"/>
  <c r="C18" i="44"/>
  <c r="H18" i="44"/>
  <c r="E18" i="44"/>
  <c r="J18" i="44"/>
  <c r="C19" i="44"/>
  <c r="H19" i="44"/>
  <c r="E19" i="44"/>
  <c r="J19" i="44"/>
  <c r="G19" i="44"/>
  <c r="C20" i="44"/>
  <c r="H20" i="44" s="1"/>
  <c r="E20" i="44"/>
  <c r="C21" i="44"/>
  <c r="H21" i="44" s="1"/>
  <c r="E21" i="44"/>
  <c r="C22" i="44"/>
  <c r="H22" i="44"/>
  <c r="E22" i="44"/>
  <c r="J22" i="44" s="1"/>
  <c r="G22" i="44" s="1"/>
  <c r="C23" i="44"/>
  <c r="H23" i="44"/>
  <c r="E23" i="44"/>
  <c r="J23" i="44"/>
  <c r="G23" i="44"/>
  <c r="K23" i="44"/>
  <c r="C24" i="44"/>
  <c r="H24" i="44"/>
  <c r="E24" i="44"/>
  <c r="J24" i="44" s="1"/>
  <c r="G24" i="44" s="1"/>
  <c r="K24" i="44"/>
  <c r="C25" i="44"/>
  <c r="H25" i="44" s="1"/>
  <c r="E25" i="44"/>
  <c r="J25" i="44"/>
  <c r="G25" i="44"/>
  <c r="C26" i="44"/>
  <c r="H26" i="44" s="1"/>
  <c r="E26" i="44"/>
  <c r="C27" i="44"/>
  <c r="H27" i="44" s="1"/>
  <c r="E27" i="44"/>
  <c r="J27" i="44"/>
  <c r="G27" i="44"/>
  <c r="C28" i="44"/>
  <c r="H28" i="44" s="1"/>
  <c r="E28" i="44"/>
  <c r="J28" i="44"/>
  <c r="G28" i="44"/>
  <c r="C29" i="44"/>
  <c r="H29" i="44"/>
  <c r="E29" i="44"/>
  <c r="C30" i="44"/>
  <c r="H30" i="44" s="1"/>
  <c r="E30" i="44"/>
  <c r="C31" i="44"/>
  <c r="H31" i="44"/>
  <c r="E31" i="44"/>
  <c r="J31" i="44"/>
  <c r="C32" i="44"/>
  <c r="H32" i="44"/>
  <c r="E32" i="44"/>
  <c r="C33" i="44"/>
  <c r="H33" i="44"/>
  <c r="E33" i="44"/>
  <c r="C34" i="44"/>
  <c r="H34" i="44"/>
  <c r="E34" i="44"/>
  <c r="J34" i="44"/>
  <c r="G34" i="44" s="1"/>
  <c r="C35" i="44"/>
  <c r="H35" i="44"/>
  <c r="E35" i="44"/>
  <c r="C36" i="44"/>
  <c r="H36" i="44"/>
  <c r="E36" i="44"/>
  <c r="J36" i="44" s="1"/>
  <c r="G36" i="44" s="1"/>
  <c r="C37" i="44"/>
  <c r="H37" i="44"/>
  <c r="E37" i="44"/>
  <c r="J37" i="44" s="1"/>
  <c r="G37" i="44" s="1"/>
  <c r="C38" i="44"/>
  <c r="H38" i="44"/>
  <c r="E38" i="44"/>
  <c r="C39" i="44"/>
  <c r="H39" i="44"/>
  <c r="E39" i="44"/>
  <c r="J39" i="44" s="1"/>
  <c r="G39" i="44" s="1"/>
  <c r="K39" i="44"/>
  <c r="C40" i="44"/>
  <c r="H40" i="44"/>
  <c r="E40" i="44"/>
  <c r="C41" i="44"/>
  <c r="H41" i="44" s="1"/>
  <c r="E41" i="44"/>
  <c r="J41" i="44"/>
  <c r="C42" i="44"/>
  <c r="H42" i="44" s="1"/>
  <c r="E42" i="44"/>
  <c r="J42" i="44"/>
  <c r="G42" i="44"/>
  <c r="C43" i="44"/>
  <c r="H43" i="44"/>
  <c r="E43" i="44"/>
  <c r="C44" i="44"/>
  <c r="H44" i="44"/>
  <c r="E44" i="44"/>
  <c r="C45" i="44"/>
  <c r="H45" i="44" s="1"/>
  <c r="E45" i="44"/>
  <c r="J45" i="44"/>
  <c r="C46" i="44"/>
  <c r="H46" i="44" s="1"/>
  <c r="E46" i="44"/>
  <c r="K46" i="44"/>
  <c r="C47" i="44"/>
  <c r="H47" i="44" s="1"/>
  <c r="E47" i="44"/>
  <c r="J47" i="44"/>
  <c r="C48" i="44"/>
  <c r="H48" i="44" s="1"/>
  <c r="E48" i="44"/>
  <c r="C49" i="44"/>
  <c r="H49" i="44"/>
  <c r="E49" i="44"/>
  <c r="C50" i="44"/>
  <c r="H50" i="44"/>
  <c r="E50" i="44"/>
  <c r="C51" i="44"/>
  <c r="H51" i="44"/>
  <c r="E51" i="44"/>
  <c r="C52" i="44"/>
  <c r="H52" i="44" s="1"/>
  <c r="E52" i="44"/>
  <c r="C53" i="44"/>
  <c r="H53" i="44" s="1"/>
  <c r="E53" i="44"/>
  <c r="J53" i="44"/>
  <c r="C54" i="44"/>
  <c r="H54" i="44" s="1"/>
  <c r="E54" i="44"/>
  <c r="C55" i="44"/>
  <c r="H55" i="44"/>
  <c r="E55" i="44"/>
  <c r="C56" i="44"/>
  <c r="H56" i="44"/>
  <c r="E56" i="44"/>
  <c r="J56" i="44" s="1"/>
  <c r="C57" i="44"/>
  <c r="H57" i="44" s="1"/>
  <c r="E57" i="44"/>
  <c r="C58" i="44"/>
  <c r="H58" i="44"/>
  <c r="E58" i="44"/>
  <c r="J58" i="44"/>
  <c r="C59" i="44"/>
  <c r="H59" i="44"/>
  <c r="E59" i="44"/>
  <c r="J59" i="44"/>
  <c r="C60" i="44"/>
  <c r="H60" i="44"/>
  <c r="E60" i="44"/>
  <c r="J60" i="44"/>
  <c r="C61" i="44"/>
  <c r="H61" i="44"/>
  <c r="E61" i="44"/>
  <c r="C62" i="44"/>
  <c r="H62" i="44"/>
  <c r="E62" i="44"/>
  <c r="C63" i="44"/>
  <c r="H63" i="44"/>
  <c r="E63" i="44"/>
  <c r="K63" i="44"/>
  <c r="C64" i="44"/>
  <c r="H64" i="44"/>
  <c r="E64" i="44"/>
  <c r="J64" i="44"/>
  <c r="C65" i="44"/>
  <c r="H65" i="44"/>
  <c r="E65" i="44"/>
  <c r="J65" i="44"/>
  <c r="C66" i="44"/>
  <c r="H66" i="44"/>
  <c r="E66" i="44"/>
  <c r="J66" i="44" s="1"/>
  <c r="C67" i="44"/>
  <c r="H67" i="44" s="1"/>
  <c r="E67" i="44"/>
  <c r="J67" i="44"/>
  <c r="E68" i="44"/>
  <c r="J68" i="44" s="1"/>
  <c r="H68" i="44"/>
  <c r="E69" i="44"/>
  <c r="H69" i="44"/>
  <c r="E70" i="44"/>
  <c r="H70" i="44"/>
  <c r="E71" i="44"/>
  <c r="H71" i="44"/>
  <c r="E72" i="44"/>
  <c r="H72" i="44"/>
  <c r="E73" i="44"/>
  <c r="H73" i="44"/>
  <c r="E74" i="44"/>
  <c r="J74" i="44"/>
  <c r="H74" i="44"/>
  <c r="E75" i="44"/>
  <c r="H75" i="44"/>
  <c r="E76" i="44"/>
  <c r="J76" i="44"/>
  <c r="H76" i="44"/>
  <c r="E77" i="44"/>
  <c r="J77" i="44"/>
  <c r="H77" i="44"/>
  <c r="E78" i="44"/>
  <c r="H78" i="44"/>
  <c r="E79" i="44"/>
  <c r="J79" i="44"/>
  <c r="H79" i="44"/>
  <c r="C80" i="44"/>
  <c r="H80" i="44"/>
  <c r="C81" i="44"/>
  <c r="C82" i="44"/>
  <c r="H82" i="44" s="1"/>
  <c r="C83" i="44"/>
  <c r="J83" i="44"/>
  <c r="C84" i="44"/>
  <c r="C85" i="44"/>
  <c r="C86" i="44"/>
  <c r="H86" i="44"/>
  <c r="C87" i="44"/>
  <c r="C88" i="44"/>
  <c r="C89" i="44"/>
  <c r="C90" i="44"/>
  <c r="C91" i="44"/>
  <c r="B92" i="44"/>
  <c r="B93" i="44"/>
  <c r="B94" i="44" s="1"/>
  <c r="B95" i="44" s="1"/>
  <c r="B96" i="44" s="1"/>
  <c r="B97" i="44" s="1"/>
  <c r="B98" i="44"/>
  <c r="B99" i="44" s="1"/>
  <c r="B100" i="44" s="1"/>
  <c r="B101" i="44" s="1"/>
  <c r="B102" i="44" s="1"/>
  <c r="B103" i="44" s="1"/>
  <c r="B104" i="44" s="1"/>
  <c r="C92" i="44"/>
  <c r="C93" i="44"/>
  <c r="C94" i="44"/>
  <c r="H94" i="44"/>
  <c r="C95" i="44"/>
  <c r="H95" i="44" s="1"/>
  <c r="C96" i="44"/>
  <c r="C97" i="44"/>
  <c r="J97" i="44" s="1"/>
  <c r="C98" i="44"/>
  <c r="C99" i="44"/>
  <c r="H99" i="44"/>
  <c r="C100" i="44"/>
  <c r="C101" i="44"/>
  <c r="C102" i="44"/>
  <c r="C103" i="44"/>
  <c r="C104" i="44"/>
  <c r="B105" i="44"/>
  <c r="B106" i="44"/>
  <c r="B107" i="44" s="1"/>
  <c r="B108" i="44" s="1"/>
  <c r="B109" i="44"/>
  <c r="B110" i="44" s="1"/>
  <c r="B111" i="44" s="1"/>
  <c r="B112" i="44" s="1"/>
  <c r="B113" i="44" s="1"/>
  <c r="B114" i="44"/>
  <c r="B115" i="44" s="1"/>
  <c r="B116" i="44" s="1"/>
  <c r="C105" i="44"/>
  <c r="C106" i="44"/>
  <c r="C107" i="44"/>
  <c r="J107" i="44"/>
  <c r="H107" i="44"/>
  <c r="C108" i="44"/>
  <c r="H108" i="44" s="1"/>
  <c r="C109" i="44"/>
  <c r="H109" i="44"/>
  <c r="C110" i="44"/>
  <c r="H110" i="44" s="1"/>
  <c r="C111" i="44"/>
  <c r="J111" i="44" s="1"/>
  <c r="H111" i="44"/>
  <c r="C112" i="44"/>
  <c r="C113" i="44"/>
  <c r="C114" i="44"/>
  <c r="K114" i="44"/>
  <c r="C115" i="44"/>
  <c r="C116" i="44"/>
  <c r="B117" i="44"/>
  <c r="B118" i="44"/>
  <c r="B119" i="44" s="1"/>
  <c r="B120" i="44"/>
  <c r="B121" i="44" s="1"/>
  <c r="B122" i="44" s="1"/>
  <c r="B123" i="44" s="1"/>
  <c r="B124" i="44" s="1"/>
  <c r="B125" i="44" s="1"/>
  <c r="B126" i="44" s="1"/>
  <c r="B127" i="44" s="1"/>
  <c r="B128" i="44" s="1"/>
  <c r="C117" i="44"/>
  <c r="C118" i="44"/>
  <c r="C119" i="44"/>
  <c r="C120" i="44"/>
  <c r="C121" i="44"/>
  <c r="C122" i="44"/>
  <c r="C123" i="44"/>
  <c r="H123" i="44" s="1"/>
  <c r="C124" i="44"/>
  <c r="H124" i="44" s="1"/>
  <c r="C125" i="44"/>
  <c r="C126" i="44"/>
  <c r="C127" i="44"/>
  <c r="H127" i="44"/>
  <c r="C128" i="44"/>
  <c r="B129" i="44"/>
  <c r="B130" i="44" s="1"/>
  <c r="B131" i="44" s="1"/>
  <c r="B132" i="44" s="1"/>
  <c r="B133" i="44" s="1"/>
  <c r="B134" i="44" s="1"/>
  <c r="B135" i="44" s="1"/>
  <c r="B136" i="44" s="1"/>
  <c r="B137" i="44" s="1"/>
  <c r="B138" i="44" s="1"/>
  <c r="B139" i="44" s="1"/>
  <c r="B140" i="44" s="1"/>
  <c r="C129" i="44"/>
  <c r="H129" i="44"/>
  <c r="C130" i="44"/>
  <c r="C131" i="44"/>
  <c r="H131" i="44" s="1"/>
  <c r="C132" i="44"/>
  <c r="C133" i="44"/>
  <c r="J133" i="44"/>
  <c r="C134" i="44"/>
  <c r="J134" i="44" s="1"/>
  <c r="K134" i="44"/>
  <c r="C135" i="44"/>
  <c r="J135" i="44" s="1"/>
  <c r="C136" i="44"/>
  <c r="C137" i="44"/>
  <c r="J137" i="44"/>
  <c r="C138" i="44"/>
  <c r="J138" i="44" s="1"/>
  <c r="C139" i="44"/>
  <c r="C140" i="44"/>
  <c r="J140" i="44" s="1"/>
  <c r="D153" i="44"/>
  <c r="V159" i="44"/>
  <c r="B5" i="43"/>
  <c r="A6" i="44" s="1"/>
  <c r="P9" i="43"/>
  <c r="P10" i="43"/>
  <c r="P11" i="43"/>
  <c r="P12" i="43"/>
  <c r="P13" i="43"/>
  <c r="P14" i="43"/>
  <c r="P15" i="43"/>
  <c r="P16" i="43"/>
  <c r="P17" i="43"/>
  <c r="P18" i="43"/>
  <c r="P20" i="43"/>
  <c r="C21" i="43"/>
  <c r="D21" i="43"/>
  <c r="E21" i="43"/>
  <c r="F21" i="43"/>
  <c r="G21" i="43"/>
  <c r="H21" i="43"/>
  <c r="I21" i="43"/>
  <c r="J21" i="43"/>
  <c r="K21" i="43"/>
  <c r="L21" i="43"/>
  <c r="M21" i="43"/>
  <c r="N21" i="43"/>
  <c r="O21" i="43"/>
  <c r="P27" i="43"/>
  <c r="K7" i="29"/>
  <c r="C9" i="29"/>
  <c r="H9" i="29" s="1"/>
  <c r="G9" i="29"/>
  <c r="J9" i="29" s="1"/>
  <c r="F9" i="29"/>
  <c r="C10" i="29"/>
  <c r="H10" i="29" s="1"/>
  <c r="G10" i="29"/>
  <c r="J10" i="29"/>
  <c r="F10" i="29"/>
  <c r="C11" i="29"/>
  <c r="H11" i="29" s="1"/>
  <c r="G11" i="29"/>
  <c r="J11" i="29"/>
  <c r="F11" i="29"/>
  <c r="C12" i="29"/>
  <c r="H12" i="29"/>
  <c r="G12" i="29"/>
  <c r="K12" i="29" s="1"/>
  <c r="J12" i="29"/>
  <c r="F12" i="29" s="1"/>
  <c r="C13" i="29"/>
  <c r="H13" i="29"/>
  <c r="G13" i="29"/>
  <c r="K13" i="29"/>
  <c r="C14" i="29"/>
  <c r="H14" i="29"/>
  <c r="G14" i="29"/>
  <c r="K14" i="29" s="1"/>
  <c r="C15" i="29"/>
  <c r="H15" i="29" s="1"/>
  <c r="G15" i="29"/>
  <c r="J15" i="29"/>
  <c r="F15" i="29"/>
  <c r="C16" i="29"/>
  <c r="H16" i="29"/>
  <c r="G16" i="29"/>
  <c r="C17" i="29"/>
  <c r="H17" i="29" s="1"/>
  <c r="G17" i="29"/>
  <c r="C18" i="29"/>
  <c r="H18" i="29"/>
  <c r="G18" i="29"/>
  <c r="C19" i="29"/>
  <c r="H19" i="29" s="1"/>
  <c r="G19" i="29"/>
  <c r="C20" i="29"/>
  <c r="H20" i="29"/>
  <c r="G20" i="29"/>
  <c r="J20" i="29"/>
  <c r="F20" i="29" s="1"/>
  <c r="C21" i="29"/>
  <c r="H21" i="29"/>
  <c r="G21" i="29"/>
  <c r="C22" i="29"/>
  <c r="H22" i="29"/>
  <c r="G22" i="29"/>
  <c r="J22" i="29" s="1"/>
  <c r="F22" i="29" s="1"/>
  <c r="C23" i="29"/>
  <c r="H23" i="29"/>
  <c r="G23" i="29"/>
  <c r="C24" i="29"/>
  <c r="H24" i="29"/>
  <c r="G24" i="29"/>
  <c r="C25" i="29"/>
  <c r="H25" i="29" s="1"/>
  <c r="G25" i="29"/>
  <c r="J25" i="29"/>
  <c r="F25" i="29"/>
  <c r="C26" i="29"/>
  <c r="H26" i="29"/>
  <c r="G26" i="29"/>
  <c r="J26" i="29"/>
  <c r="F26" i="29" s="1"/>
  <c r="C27" i="29"/>
  <c r="H27" i="29" s="1"/>
  <c r="G27" i="29"/>
  <c r="J27" i="29" s="1"/>
  <c r="C28" i="29"/>
  <c r="H28" i="29" s="1"/>
  <c r="G28" i="29"/>
  <c r="J28" i="29" s="1"/>
  <c r="F28" i="29"/>
  <c r="C29" i="29"/>
  <c r="H29" i="29" s="1"/>
  <c r="G29" i="29"/>
  <c r="C30" i="29"/>
  <c r="H30" i="29"/>
  <c r="G30" i="29"/>
  <c r="J30" i="29" s="1"/>
  <c r="F30" i="29" s="1"/>
  <c r="C31" i="29"/>
  <c r="H31" i="29"/>
  <c r="G31" i="29"/>
  <c r="C32" i="29"/>
  <c r="H32" i="29"/>
  <c r="G32" i="29"/>
  <c r="J32" i="29" s="1"/>
  <c r="F32" i="29" s="1"/>
  <c r="C33" i="29"/>
  <c r="H33" i="29"/>
  <c r="G33" i="29"/>
  <c r="J33" i="29"/>
  <c r="F33" i="29" s="1"/>
  <c r="C34" i="29"/>
  <c r="H34" i="29" s="1"/>
  <c r="G34" i="29"/>
  <c r="J34" i="29"/>
  <c r="F34" i="29" s="1"/>
  <c r="C35" i="29"/>
  <c r="H35" i="29"/>
  <c r="G35" i="29"/>
  <c r="J35" i="29" s="1"/>
  <c r="F35" i="29" s="1"/>
  <c r="C36" i="29"/>
  <c r="H36" i="29"/>
  <c r="G36" i="29"/>
  <c r="J36" i="29" s="1"/>
  <c r="F36" i="29" s="1"/>
  <c r="C37" i="29"/>
  <c r="H37" i="29"/>
  <c r="G37" i="29"/>
  <c r="C38" i="29"/>
  <c r="H38" i="29"/>
  <c r="G38" i="29"/>
  <c r="C39" i="29"/>
  <c r="H39" i="29"/>
  <c r="G39" i="29"/>
  <c r="J39" i="29"/>
  <c r="F39" i="29" s="1"/>
  <c r="C40" i="29"/>
  <c r="H40" i="29" s="1"/>
  <c r="G40" i="29"/>
  <c r="K40" i="29" s="1"/>
  <c r="J40" i="29"/>
  <c r="F40" i="29" s="1"/>
  <c r="C41" i="29"/>
  <c r="H41" i="29"/>
  <c r="G41" i="29"/>
  <c r="J41" i="29" s="1"/>
  <c r="F41" i="29" s="1"/>
  <c r="C42" i="29"/>
  <c r="H42" i="29" s="1"/>
  <c r="G42" i="29"/>
  <c r="J42" i="29"/>
  <c r="F42" i="29" s="1"/>
  <c r="C43" i="29"/>
  <c r="H43" i="29"/>
  <c r="G43" i="29"/>
  <c r="J43" i="29" s="1"/>
  <c r="F43" i="29" s="1"/>
  <c r="C44" i="29"/>
  <c r="H44" i="29"/>
  <c r="G44" i="29"/>
  <c r="C45" i="29"/>
  <c r="H45" i="29"/>
  <c r="G45" i="29"/>
  <c r="C46" i="29"/>
  <c r="H46" i="29" s="1"/>
  <c r="G46" i="29"/>
  <c r="C47" i="29"/>
  <c r="H47" i="29"/>
  <c r="G47" i="29"/>
  <c r="C48" i="29"/>
  <c r="H48" i="29" s="1"/>
  <c r="G48" i="29"/>
  <c r="C49" i="29"/>
  <c r="H49" i="29"/>
  <c r="G49" i="29"/>
  <c r="J49" i="29"/>
  <c r="F49" i="29" s="1"/>
  <c r="C50" i="29"/>
  <c r="H50" i="29" s="1"/>
  <c r="G50" i="29"/>
  <c r="C51" i="29"/>
  <c r="H51" i="29"/>
  <c r="G51" i="29"/>
  <c r="C52" i="29"/>
  <c r="H52" i="29"/>
  <c r="G52" i="29"/>
  <c r="L52" i="29" s="1"/>
  <c r="C53" i="29"/>
  <c r="H53" i="29"/>
  <c r="G53" i="29"/>
  <c r="C54" i="29"/>
  <c r="H54" i="29" s="1"/>
  <c r="G54" i="29"/>
  <c r="C55" i="29"/>
  <c r="H55" i="29"/>
  <c r="G55" i="29"/>
  <c r="J55" i="29"/>
  <c r="F55" i="29"/>
  <c r="C56" i="29"/>
  <c r="H56" i="29" s="1"/>
  <c r="G56" i="29"/>
  <c r="C57" i="29"/>
  <c r="H57" i="29"/>
  <c r="G57" i="29"/>
  <c r="J57" i="29"/>
  <c r="F57" i="29" s="1"/>
  <c r="C58" i="29"/>
  <c r="H58" i="29" s="1"/>
  <c r="G58" i="29"/>
  <c r="C59" i="29"/>
  <c r="H59" i="29"/>
  <c r="G59" i="29"/>
  <c r="J59" i="29" s="1"/>
  <c r="F59" i="29" s="1"/>
  <c r="C60" i="29"/>
  <c r="H60" i="29"/>
  <c r="G60" i="29"/>
  <c r="J60" i="29" s="1"/>
  <c r="F60" i="29" s="1"/>
  <c r="C61" i="29"/>
  <c r="H61" i="29"/>
  <c r="G61" i="29"/>
  <c r="J61" i="29"/>
  <c r="F61" i="29"/>
  <c r="C62" i="29"/>
  <c r="H62" i="29" s="1"/>
  <c r="G62" i="29"/>
  <c r="C63" i="29"/>
  <c r="H63" i="29" s="1"/>
  <c r="G63" i="29"/>
  <c r="J63" i="29"/>
  <c r="F63" i="29" s="1"/>
  <c r="C64" i="29"/>
  <c r="H64" i="29"/>
  <c r="G64" i="29"/>
  <c r="C65" i="29"/>
  <c r="H65" i="29" s="1"/>
  <c r="G65" i="29"/>
  <c r="J65" i="29"/>
  <c r="F65" i="29" s="1"/>
  <c r="C66" i="29"/>
  <c r="H66" i="29"/>
  <c r="G66" i="29"/>
  <c r="J66" i="29" s="1"/>
  <c r="F66" i="29" s="1"/>
  <c r="C67" i="29"/>
  <c r="H67" i="29"/>
  <c r="G67" i="29"/>
  <c r="K67" i="29" s="1"/>
  <c r="C68" i="29"/>
  <c r="H68" i="29"/>
  <c r="G68" i="29"/>
  <c r="J68" i="29"/>
  <c r="F68" i="29" s="1"/>
  <c r="C69" i="29"/>
  <c r="H69" i="29" s="1"/>
  <c r="G69" i="29"/>
  <c r="J69" i="29"/>
  <c r="C70" i="29"/>
  <c r="H70" i="29" s="1"/>
  <c r="G70" i="29"/>
  <c r="J70" i="29"/>
  <c r="C71" i="29"/>
  <c r="H71" i="29" s="1"/>
  <c r="G71" i="29"/>
  <c r="C72" i="29"/>
  <c r="H72" i="29"/>
  <c r="G72" i="29"/>
  <c r="J72" i="29"/>
  <c r="C73" i="29"/>
  <c r="H73" i="29"/>
  <c r="G73" i="29"/>
  <c r="J73" i="29"/>
  <c r="C74" i="29"/>
  <c r="H74" i="29"/>
  <c r="G74" i="29"/>
  <c r="C75" i="29"/>
  <c r="H75" i="29"/>
  <c r="G75" i="29"/>
  <c r="C76" i="29"/>
  <c r="H76" i="29"/>
  <c r="G76" i="29"/>
  <c r="J76" i="29" s="1"/>
  <c r="C77" i="29"/>
  <c r="H77" i="29"/>
  <c r="G77" i="29"/>
  <c r="J77" i="29" s="1"/>
  <c r="C78" i="29"/>
  <c r="H78" i="29"/>
  <c r="G78" i="29"/>
  <c r="J78" i="29" s="1"/>
  <c r="C79" i="29"/>
  <c r="H79" i="29"/>
  <c r="G79" i="29"/>
  <c r="J79" i="29" s="1"/>
  <c r="C80" i="29"/>
  <c r="H80" i="29" s="1"/>
  <c r="G80" i="29"/>
  <c r="J80" i="29"/>
  <c r="C81" i="29"/>
  <c r="H81" i="29" s="1"/>
  <c r="G81" i="29"/>
  <c r="C82" i="29"/>
  <c r="H82" i="29" s="1"/>
  <c r="G82" i="29"/>
  <c r="C83" i="29"/>
  <c r="H83" i="29"/>
  <c r="G83" i="29"/>
  <c r="K83" i="29" s="1"/>
  <c r="C84" i="29"/>
  <c r="G84" i="29"/>
  <c r="K84" i="29" s="1"/>
  <c r="C85" i="29"/>
  <c r="H85" i="29"/>
  <c r="G85" i="29"/>
  <c r="C86" i="29"/>
  <c r="H86" i="29" s="1"/>
  <c r="G86" i="29"/>
  <c r="C87" i="29"/>
  <c r="H87" i="29"/>
  <c r="G87" i="29"/>
  <c r="C88" i="29"/>
  <c r="H88" i="29"/>
  <c r="G88" i="29"/>
  <c r="C89" i="29"/>
  <c r="H89" i="29" s="1"/>
  <c r="G89" i="29"/>
  <c r="C90" i="29"/>
  <c r="G90" i="29"/>
  <c r="C91" i="29"/>
  <c r="H91" i="29"/>
  <c r="G91" i="29"/>
  <c r="C92" i="29"/>
  <c r="G92" i="29"/>
  <c r="J92" i="29"/>
  <c r="C93" i="29"/>
  <c r="G93" i="29"/>
  <c r="C94" i="29"/>
  <c r="G94" i="29"/>
  <c r="K94" i="29"/>
  <c r="C95" i="29"/>
  <c r="G95" i="29"/>
  <c r="C96" i="29"/>
  <c r="G96" i="29"/>
  <c r="C97" i="29"/>
  <c r="G97" i="29"/>
  <c r="C98" i="29"/>
  <c r="H98" i="29"/>
  <c r="G98" i="29"/>
  <c r="C99" i="29"/>
  <c r="H99" i="29"/>
  <c r="G99" i="29"/>
  <c r="C100" i="29"/>
  <c r="G100" i="29"/>
  <c r="J100" i="29"/>
  <c r="C101" i="29"/>
  <c r="G101" i="29"/>
  <c r="C102" i="29"/>
  <c r="G102" i="29"/>
  <c r="C103" i="29"/>
  <c r="G103" i="29"/>
  <c r="C104" i="29"/>
  <c r="G104" i="29"/>
  <c r="C105" i="29"/>
  <c r="C106" i="29"/>
  <c r="H106" i="29"/>
  <c r="C107" i="29"/>
  <c r="C108" i="29"/>
  <c r="C109" i="29"/>
  <c r="J109" i="29"/>
  <c r="C110" i="29"/>
  <c r="C111" i="29"/>
  <c r="J111" i="29"/>
  <c r="C112" i="29"/>
  <c r="C113" i="29"/>
  <c r="J113" i="29" s="1"/>
  <c r="C114" i="29"/>
  <c r="C115" i="29"/>
  <c r="C116" i="29"/>
  <c r="B118" i="29"/>
  <c r="B119" i="29"/>
  <c r="B120" i="29" s="1"/>
  <c r="B121" i="29" s="1"/>
  <c r="B122" i="29" s="1"/>
  <c r="B123" i="29" s="1"/>
  <c r="B124" i="29" s="1"/>
  <c r="B125" i="29" s="1"/>
  <c r="B126" i="29" s="1"/>
  <c r="B127" i="29" s="1"/>
  <c r="B128" i="29" s="1"/>
  <c r="C118" i="29"/>
  <c r="C119" i="29"/>
  <c r="K119" i="29" s="1"/>
  <c r="C120" i="29"/>
  <c r="C121" i="29"/>
  <c r="H121" i="29"/>
  <c r="C122" i="29"/>
  <c r="H122" i="29" s="1"/>
  <c r="C123" i="29"/>
  <c r="H123" i="29"/>
  <c r="C124" i="29"/>
  <c r="H124" i="29" s="1"/>
  <c r="C125" i="29"/>
  <c r="C126" i="29"/>
  <c r="C127" i="29"/>
  <c r="J127" i="29" s="1"/>
  <c r="C128" i="29"/>
  <c r="J128" i="29"/>
  <c r="B129" i="29"/>
  <c r="B130" i="29" s="1"/>
  <c r="B131" i="29" s="1"/>
  <c r="B132" i="29" s="1"/>
  <c r="B133" i="29" s="1"/>
  <c r="B134" i="29" s="1"/>
  <c r="B135" i="29"/>
  <c r="B136" i="29"/>
  <c r="B137" i="29" s="1"/>
  <c r="B138" i="29" s="1"/>
  <c r="B139" i="29" s="1"/>
  <c r="B140" i="29" s="1"/>
  <c r="C129" i="29"/>
  <c r="H129" i="29" s="1"/>
  <c r="C130" i="29"/>
  <c r="C131" i="29"/>
  <c r="C132" i="29"/>
  <c r="J132" i="29"/>
  <c r="C133" i="29"/>
  <c r="J133" i="29" s="1"/>
  <c r="C134" i="29"/>
  <c r="H134" i="29"/>
  <c r="C135" i="29"/>
  <c r="C136" i="29"/>
  <c r="H136" i="29" s="1"/>
  <c r="C137" i="29"/>
  <c r="J137" i="29"/>
  <c r="C138" i="29"/>
  <c r="J138" i="29" s="1"/>
  <c r="C139" i="29"/>
  <c r="H139" i="29" s="1"/>
  <c r="C140" i="29"/>
  <c r="B141" i="29"/>
  <c r="B142" i="29"/>
  <c r="B143" i="29" s="1"/>
  <c r="B144" i="29" s="1"/>
  <c r="B145" i="29" s="1"/>
  <c r="B146" i="29" s="1"/>
  <c r="B147" i="29" s="1"/>
  <c r="B148" i="29" s="1"/>
  <c r="B149" i="29" s="1"/>
  <c r="B150" i="29" s="1"/>
  <c r="B151" i="29" s="1"/>
  <c r="B152" i="29" s="1"/>
  <c r="C141" i="29"/>
  <c r="C142" i="29"/>
  <c r="C143" i="29"/>
  <c r="C144" i="29"/>
  <c r="J144" i="29"/>
  <c r="C145" i="29"/>
  <c r="C146" i="29"/>
  <c r="C147" i="29"/>
  <c r="C148" i="29"/>
  <c r="C149" i="29"/>
  <c r="C150" i="29"/>
  <c r="H150" i="29"/>
  <c r="C151" i="29"/>
  <c r="C152" i="29"/>
  <c r="B153" i="29"/>
  <c r="B154" i="29"/>
  <c r="B155" i="29" s="1"/>
  <c r="B156" i="29" s="1"/>
  <c r="B157" i="29"/>
  <c r="B158" i="29" s="1"/>
  <c r="B159" i="29" s="1"/>
  <c r="B160" i="29" s="1"/>
  <c r="B161" i="29" s="1"/>
  <c r="B162" i="29"/>
  <c r="B163" i="29" s="1"/>
  <c r="B164" i="29" s="1"/>
  <c r="B166" i="29"/>
  <c r="C153" i="29"/>
  <c r="J153" i="29" s="1"/>
  <c r="C154" i="29"/>
  <c r="H154" i="29" s="1"/>
  <c r="C155" i="29"/>
  <c r="C156" i="29"/>
  <c r="C157" i="29"/>
  <c r="J157" i="29"/>
  <c r="C158" i="29"/>
  <c r="C159" i="29"/>
  <c r="J159" i="29" s="1"/>
  <c r="C160" i="29"/>
  <c r="C161" i="29"/>
  <c r="J161" i="29" s="1"/>
  <c r="C162" i="29"/>
  <c r="C163" i="29"/>
  <c r="J163" i="29" s="1"/>
  <c r="C164" i="29"/>
  <c r="H164" i="29" s="1"/>
  <c r="B5" i="28"/>
  <c r="A5" i="29"/>
  <c r="N9" i="28"/>
  <c r="B10" i="28"/>
  <c r="N10" i="28"/>
  <c r="N11" i="28"/>
  <c r="N12" i="28"/>
  <c r="N13" i="28"/>
  <c r="N14" i="28"/>
  <c r="N16" i="28"/>
  <c r="N17" i="28"/>
  <c r="N18" i="28"/>
  <c r="N19" i="28"/>
  <c r="N20" i="28"/>
  <c r="C21" i="28"/>
  <c r="D21" i="28"/>
  <c r="E21" i="28"/>
  <c r="G21" i="28"/>
  <c r="H21" i="28"/>
  <c r="I21" i="28"/>
  <c r="J21" i="28"/>
  <c r="K21" i="28"/>
  <c r="L21" i="28"/>
  <c r="M21" i="28"/>
  <c r="G31" i="30"/>
  <c r="K107" i="44"/>
  <c r="K85" i="44"/>
  <c r="K48" i="44"/>
  <c r="K110" i="44"/>
  <c r="J110" i="44"/>
  <c r="K108" i="44"/>
  <c r="K25" i="44"/>
  <c r="K95" i="44"/>
  <c r="K41" i="44"/>
  <c r="K13" i="44"/>
  <c r="J95" i="44"/>
  <c r="J82" i="44"/>
  <c r="J80" i="44"/>
  <c r="K109" i="44"/>
  <c r="K93" i="44"/>
  <c r="K60" i="44"/>
  <c r="J29" i="44"/>
  <c r="G29" i="44"/>
  <c r="J63" i="44"/>
  <c r="K47" i="44"/>
  <c r="J48" i="44"/>
  <c r="K45" i="44"/>
  <c r="H149" i="29"/>
  <c r="J149" i="29"/>
  <c r="H92" i="29"/>
  <c r="J145" i="29"/>
  <c r="H132" i="29"/>
  <c r="J121" i="29"/>
  <c r="K113" i="29"/>
  <c r="H111" i="29"/>
  <c r="J46" i="29"/>
  <c r="F46" i="29" s="1"/>
  <c r="J74" i="29"/>
  <c r="J50" i="29"/>
  <c r="F50" i="29" s="1"/>
  <c r="J67" i="29"/>
  <c r="F67" i="29" s="1"/>
  <c r="J31" i="29"/>
  <c r="F31" i="29"/>
  <c r="K30" i="29"/>
  <c r="J19" i="29"/>
  <c r="F19" i="29" s="1"/>
  <c r="J123" i="44"/>
  <c r="J48" i="29"/>
  <c r="F48" i="29"/>
  <c r="J64" i="29"/>
  <c r="F64" i="29" s="1"/>
  <c r="H104" i="44"/>
  <c r="K104" i="44"/>
  <c r="J104" i="44"/>
  <c r="H106" i="44"/>
  <c r="J9" i="44"/>
  <c r="K176" i="29"/>
  <c r="K74" i="29"/>
  <c r="K49" i="29"/>
  <c r="L7" i="29"/>
  <c r="K167" i="29"/>
  <c r="K48" i="29"/>
  <c r="J47" i="29"/>
  <c r="F47" i="29" s="1"/>
  <c r="J21" i="29"/>
  <c r="F21" i="29" s="1"/>
  <c r="H84" i="29"/>
  <c r="H97" i="29"/>
  <c r="J88" i="29"/>
  <c r="H127" i="29"/>
  <c r="K62" i="29"/>
  <c r="K137" i="44"/>
  <c r="K142" i="44"/>
  <c r="K148" i="44"/>
  <c r="K150" i="44"/>
  <c r="K132" i="44"/>
  <c r="K138" i="44"/>
  <c r="J33" i="44"/>
  <c r="G33" i="44" s="1"/>
  <c r="K33" i="44"/>
  <c r="G9" i="44"/>
  <c r="J20" i="44"/>
  <c r="G20" i="44" s="1"/>
  <c r="K81" i="44"/>
  <c r="H137" i="44"/>
  <c r="J129" i="44"/>
  <c r="J120" i="44"/>
  <c r="H120" i="44"/>
  <c r="J101" i="44"/>
  <c r="H84" i="44"/>
  <c r="J84" i="44"/>
  <c r="J44" i="44"/>
  <c r="K44" i="44"/>
  <c r="K22" i="44"/>
  <c r="J35" i="44"/>
  <c r="G35" i="44"/>
  <c r="K35" i="44"/>
  <c r="J49" i="44"/>
  <c r="H133" i="44"/>
  <c r="J114" i="44"/>
  <c r="H114" i="44"/>
  <c r="H89" i="44"/>
  <c r="K89" i="44"/>
  <c r="J89" i="44"/>
  <c r="G31" i="44"/>
  <c r="J125" i="44"/>
  <c r="H94" i="29"/>
  <c r="A117" i="29"/>
  <c r="J57" i="44"/>
  <c r="J54" i="44"/>
  <c r="K54" i="44"/>
  <c r="K11" i="29"/>
  <c r="J99" i="44"/>
  <c r="J94" i="44"/>
  <c r="K94" i="44"/>
  <c r="J69" i="44"/>
  <c r="K69" i="44"/>
  <c r="J40" i="44"/>
  <c r="G40" i="44" s="1"/>
  <c r="J52" i="29"/>
  <c r="F52" i="29"/>
  <c r="K126" i="29"/>
  <c r="J122" i="29"/>
  <c r="J72" i="44"/>
  <c r="K18" i="29"/>
  <c r="J18" i="29"/>
  <c r="F18" i="29" s="1"/>
  <c r="K106" i="44"/>
  <c r="J106" i="44"/>
  <c r="J71" i="29"/>
  <c r="J109" i="44"/>
  <c r="J108" i="29"/>
  <c r="H108" i="29"/>
  <c r="J164" i="29"/>
  <c r="H119" i="29"/>
  <c r="H141" i="29"/>
  <c r="J141" i="29"/>
  <c r="K36" i="29"/>
  <c r="K127" i="29"/>
  <c r="K157" i="29"/>
  <c r="K31" i="29"/>
  <c r="K9" i="29"/>
  <c r="K162" i="29"/>
  <c r="H134" i="44"/>
  <c r="H138" i="44"/>
  <c r="K143" i="44"/>
  <c r="J14" i="29"/>
  <c r="F14" i="29" s="1"/>
  <c r="K55" i="44"/>
  <c r="J55" i="44"/>
  <c r="F27" i="29"/>
  <c r="K61" i="44"/>
  <c r="J61" i="44"/>
  <c r="G41" i="44"/>
  <c r="K133" i="29"/>
  <c r="J94" i="29"/>
  <c r="K20" i="29"/>
  <c r="H104" i="29"/>
  <c r="J23" i="29"/>
  <c r="F23" i="29" s="1"/>
  <c r="K66" i="44"/>
  <c r="J10" i="44"/>
  <c r="G10" i="44" s="1"/>
  <c r="K23" i="29"/>
  <c r="H87" i="44"/>
  <c r="J87" i="44"/>
  <c r="J29" i="29"/>
  <c r="F29" i="29" s="1"/>
  <c r="K69" i="29"/>
  <c r="J126" i="44"/>
  <c r="K126" i="44"/>
  <c r="H126" i="44"/>
  <c r="K29" i="29"/>
  <c r="J73" i="44"/>
  <c r="K73" i="44"/>
  <c r="H152" i="29"/>
  <c r="J152" i="29"/>
  <c r="K152" i="29"/>
  <c r="J86" i="44"/>
  <c r="K86" i="44"/>
  <c r="L170" i="29"/>
  <c r="J129" i="29"/>
  <c r="K125" i="29"/>
  <c r="J125" i="29"/>
  <c r="H125" i="29"/>
  <c r="H135" i="44"/>
  <c r="H85" i="44"/>
  <c r="J85" i="44"/>
  <c r="K153" i="29"/>
  <c r="H153" i="29"/>
  <c r="H162" i="29"/>
  <c r="J162" i="29"/>
  <c r="H136" i="44"/>
  <c r="J50" i="44"/>
  <c r="K50" i="44"/>
  <c r="H116" i="44"/>
  <c r="J116" i="44"/>
  <c r="K116" i="44"/>
  <c r="J117" i="44"/>
  <c r="J52" i="44"/>
  <c r="K52" i="44"/>
  <c r="H141" i="44"/>
  <c r="J112" i="44"/>
  <c r="H112" i="44"/>
  <c r="J75" i="44"/>
  <c r="H146" i="29"/>
  <c r="J98" i="44"/>
  <c r="H83" i="44"/>
  <c r="B167" i="29"/>
  <c r="B168" i="29" s="1"/>
  <c r="B169" i="29"/>
  <c r="B170" i="29"/>
  <c r="B171" i="29" s="1"/>
  <c r="B172" i="29" s="1"/>
  <c r="B173" i="29" s="1"/>
  <c r="B174" i="29" s="1"/>
  <c r="B175" i="29"/>
  <c r="B176" i="29" s="1"/>
  <c r="L119" i="29"/>
  <c r="H113" i="29"/>
  <c r="J136" i="29"/>
  <c r="H138" i="29"/>
  <c r="H161" i="29"/>
  <c r="J154" i="29"/>
  <c r="J83" i="29"/>
  <c r="H130" i="29"/>
  <c r="H133" i="29"/>
  <c r="K136" i="29"/>
  <c r="H120" i="29"/>
  <c r="K59" i="29"/>
  <c r="H109" i="29"/>
  <c r="M7" i="29"/>
  <c r="K68" i="29"/>
  <c r="K116" i="29"/>
  <c r="J91" i="29"/>
  <c r="J146" i="29"/>
  <c r="K164" i="29"/>
  <c r="K61" i="29"/>
  <c r="J120" i="29"/>
  <c r="K80" i="29"/>
  <c r="K121" i="29"/>
  <c r="H128" i="29"/>
  <c r="H163" i="29"/>
  <c r="J106" i="29"/>
  <c r="J84" i="29"/>
  <c r="J86" i="29"/>
  <c r="L45" i="29"/>
  <c r="J98" i="29"/>
  <c r="H159" i="29"/>
  <c r="K76" i="29"/>
  <c r="K10" i="29"/>
  <c r="K77" i="29"/>
  <c r="K98" i="29"/>
  <c r="K115" i="29"/>
  <c r="J102" i="29"/>
  <c r="K129" i="29"/>
  <c r="J45" i="29"/>
  <c r="F45" i="29" s="1"/>
  <c r="K161" i="29"/>
  <c r="J95" i="29"/>
  <c r="K99" i="29"/>
  <c r="J13" i="29"/>
  <c r="F13" i="29" s="1"/>
  <c r="H95" i="29"/>
  <c r="J123" i="29"/>
  <c r="K45" i="29"/>
  <c r="H144" i="29"/>
  <c r="K39" i="29"/>
  <c r="K32" i="29"/>
  <c r="J58" i="29"/>
  <c r="F58" i="29" s="1"/>
  <c r="K134" i="29"/>
  <c r="K75" i="29"/>
  <c r="J134" i="29"/>
  <c r="J103" i="29"/>
  <c r="J115" i="44"/>
  <c r="H115" i="44"/>
  <c r="K115" i="44"/>
  <c r="J96" i="44"/>
  <c r="H96" i="44"/>
  <c r="K96" i="44"/>
  <c r="J88" i="44"/>
  <c r="H88" i="44"/>
  <c r="K88" i="44"/>
  <c r="J54" i="29"/>
  <c r="F54" i="29" s="1"/>
  <c r="K54" i="29"/>
  <c r="J21" i="44"/>
  <c r="G21" i="44" s="1"/>
  <c r="K21" i="44"/>
  <c r="G18" i="44"/>
  <c r="H101" i="29"/>
  <c r="J101" i="29"/>
  <c r="M173" i="29"/>
  <c r="M75" i="29"/>
  <c r="M107" i="29"/>
  <c r="M36" i="29"/>
  <c r="M147" i="29"/>
  <c r="M137" i="29"/>
  <c r="M39" i="29"/>
  <c r="M134" i="29"/>
  <c r="M149" i="29"/>
  <c r="M71" i="29"/>
  <c r="L76" i="29"/>
  <c r="L162" i="29"/>
  <c r="L169" i="29"/>
  <c r="L118" i="29"/>
  <c r="L149" i="29"/>
  <c r="L174" i="29"/>
  <c r="L74" i="29"/>
  <c r="L66" i="29"/>
  <c r="L38" i="29"/>
  <c r="L132" i="29"/>
  <c r="L127" i="29"/>
  <c r="L134" i="29"/>
  <c r="L41" i="29"/>
  <c r="L18" i="29"/>
  <c r="L63" i="29"/>
  <c r="L123" i="29"/>
  <c r="L56" i="29"/>
  <c r="L9" i="29"/>
  <c r="L137" i="29"/>
  <c r="L161" i="29"/>
  <c r="L62" i="29"/>
  <c r="L10" i="29"/>
  <c r="L61" i="29"/>
  <c r="L99" i="29"/>
  <c r="L60" i="29"/>
  <c r="L80" i="29"/>
  <c r="L55" i="29"/>
  <c r="L88" i="29"/>
  <c r="L110" i="29"/>
  <c r="L57" i="29"/>
  <c r="L105" i="29"/>
  <c r="L173" i="29"/>
  <c r="L124" i="29"/>
  <c r="L176" i="29"/>
  <c r="L122" i="29"/>
  <c r="L112" i="29"/>
  <c r="L40" i="29"/>
  <c r="L71" i="29"/>
  <c r="L142" i="29"/>
  <c r="L94" i="29"/>
  <c r="L32" i="29"/>
  <c r="L138" i="29"/>
  <c r="L120" i="29"/>
  <c r="L155" i="29"/>
  <c r="L82" i="29"/>
  <c r="L175" i="29"/>
  <c r="L163" i="29"/>
  <c r="L86" i="29"/>
  <c r="L144" i="29"/>
  <c r="L67" i="29"/>
  <c r="L22" i="29"/>
  <c r="L166" i="29"/>
  <c r="L98" i="29"/>
  <c r="L23" i="29"/>
  <c r="L20" i="29"/>
  <c r="L157" i="29"/>
  <c r="L46" i="29"/>
  <c r="L36" i="29"/>
  <c r="L113" i="29"/>
  <c r="L152" i="29"/>
  <c r="L106" i="29"/>
  <c r="L65" i="29"/>
  <c r="L30" i="29"/>
  <c r="L115" i="29"/>
  <c r="L54" i="29"/>
  <c r="L11" i="29"/>
  <c r="L97" i="29"/>
  <c r="L26" i="29"/>
  <c r="L44" i="29"/>
  <c r="L133" i="29"/>
  <c r="L21" i="29"/>
  <c r="L15" i="29"/>
  <c r="L146" i="29"/>
  <c r="L164" i="29"/>
  <c r="L59" i="29"/>
  <c r="L102" i="29"/>
  <c r="L27" i="29"/>
  <c r="L35" i="29"/>
  <c r="L64" i="29"/>
  <c r="L68" i="29"/>
  <c r="L153" i="29"/>
  <c r="L51" i="29"/>
  <c r="L108" i="29"/>
  <c r="L150" i="29"/>
  <c r="L14" i="29"/>
  <c r="L29" i="29"/>
  <c r="L129" i="29"/>
  <c r="L90" i="29"/>
  <c r="L165" i="29"/>
  <c r="L47" i="29"/>
  <c r="L73" i="29"/>
  <c r="L31" i="29"/>
  <c r="L154" i="29"/>
  <c r="L70" i="29"/>
  <c r="L140" i="29"/>
  <c r="L156" i="29"/>
  <c r="L125" i="29"/>
  <c r="L159" i="29"/>
  <c r="L95" i="29"/>
  <c r="L33" i="29"/>
  <c r="L107" i="29"/>
  <c r="L72" i="29"/>
  <c r="L25" i="29"/>
  <c r="L167" i="29"/>
  <c r="L121" i="29"/>
  <c r="L111" i="29"/>
  <c r="L145" i="29"/>
  <c r="L34" i="29"/>
  <c r="L84" i="29"/>
  <c r="L28" i="29"/>
  <c r="L83" i="29"/>
  <c r="L104" i="29"/>
  <c r="L53" i="29"/>
  <c r="L141" i="29"/>
  <c r="L42" i="29"/>
  <c r="L19" i="29"/>
  <c r="L77" i="29"/>
  <c r="L128" i="29"/>
  <c r="L79" i="29"/>
  <c r="L43" i="29"/>
  <c r="L139" i="29"/>
  <c r="L39" i="29"/>
  <c r="L109" i="29"/>
  <c r="L49" i="29"/>
  <c r="L50" i="29"/>
  <c r="L168" i="29"/>
  <c r="L78" i="29"/>
  <c r="L69" i="29"/>
  <c r="L172" i="29"/>
  <c r="L136" i="29"/>
  <c r="L48" i="29"/>
  <c r="L13" i="29"/>
  <c r="L116" i="29"/>
  <c r="M52" i="29"/>
  <c r="H107" i="29"/>
  <c r="K107" i="29"/>
  <c r="J107" i="29"/>
  <c r="J124" i="29"/>
  <c r="K124" i="29"/>
  <c r="J140" i="29"/>
  <c r="H140" i="29"/>
  <c r="K139" i="29"/>
  <c r="J139" i="29"/>
  <c r="K97" i="44"/>
  <c r="H97" i="44"/>
  <c r="K70" i="44"/>
  <c r="J70" i="44"/>
  <c r="H147" i="29"/>
  <c r="H125" i="44"/>
  <c r="K125" i="44"/>
  <c r="J30" i="44"/>
  <c r="G30" i="44"/>
  <c r="K30" i="44"/>
  <c r="H140" i="44"/>
  <c r="H157" i="29"/>
  <c r="J150" i="29"/>
  <c r="K108" i="29"/>
  <c r="K166" i="29"/>
  <c r="K79" i="29"/>
  <c r="K154" i="29"/>
  <c r="K140" i="29"/>
  <c r="K112" i="29"/>
  <c r="K111" i="29"/>
  <c r="K57" i="29"/>
  <c r="K34" i="29"/>
  <c r="K172" i="29"/>
  <c r="K64" i="29"/>
  <c r="K106" i="29"/>
  <c r="K109" i="29"/>
  <c r="K55" i="29"/>
  <c r="K19" i="29"/>
  <c r="K158" i="29"/>
  <c r="K149" i="29"/>
  <c r="K170" i="29"/>
  <c r="K138" i="29"/>
  <c r="K110" i="29"/>
  <c r="K60" i="29"/>
  <c r="K43" i="29"/>
  <c r="K65" i="29"/>
  <c r="K78" i="29"/>
  <c r="K168" i="29"/>
  <c r="K33" i="29"/>
  <c r="K173" i="29"/>
  <c r="K97" i="29"/>
  <c r="K28" i="29"/>
  <c r="K159" i="29"/>
  <c r="K26" i="29"/>
  <c r="K52" i="29"/>
  <c r="K41" i="29"/>
  <c r="K71" i="29"/>
  <c r="K17" i="29"/>
  <c r="K27" i="29"/>
  <c r="K142" i="29"/>
  <c r="K95" i="29"/>
  <c r="K137" i="29"/>
  <c r="K46" i="29"/>
  <c r="K50" i="29"/>
  <c r="K25" i="29"/>
  <c r="K22" i="29"/>
  <c r="K171" i="29"/>
  <c r="K47" i="29"/>
  <c r="K63" i="29"/>
  <c r="K132" i="29"/>
  <c r="K165" i="29"/>
  <c r="K42" i="29"/>
  <c r="K86" i="29"/>
  <c r="K144" i="29"/>
  <c r="K150" i="29"/>
  <c r="K128" i="29"/>
  <c r="K141" i="29"/>
  <c r="K118" i="29"/>
  <c r="K15" i="29"/>
  <c r="K163" i="29"/>
  <c r="K169" i="29"/>
  <c r="K143" i="29"/>
  <c r="K123" i="29"/>
  <c r="K66" i="29"/>
  <c r="J71" i="44"/>
  <c r="K71" i="44"/>
  <c r="K11" i="44"/>
  <c r="J11" i="44"/>
  <c r="G11" i="44" s="1"/>
  <c r="J43" i="44"/>
  <c r="H137" i="29"/>
  <c r="J131" i="44"/>
  <c r="J113" i="44"/>
  <c r="H113" i="44"/>
  <c r="J108" i="44"/>
  <c r="K141" i="44"/>
  <c r="K77" i="44"/>
  <c r="K113" i="44"/>
  <c r="K111" i="44"/>
  <c r="K119" i="44"/>
  <c r="K74" i="44"/>
  <c r="K28" i="44"/>
  <c r="K19" i="44"/>
  <c r="K31" i="44"/>
  <c r="K91" i="44"/>
  <c r="K29" i="44"/>
  <c r="K72" i="44"/>
  <c r="K75" i="44"/>
  <c r="K123" i="44"/>
  <c r="K58" i="44"/>
  <c r="K82" i="44"/>
  <c r="K64" i="44"/>
  <c r="K42" i="44"/>
  <c r="K18" i="44"/>
  <c r="K67" i="44"/>
  <c r="K149" i="44"/>
  <c r="H119" i="44"/>
  <c r="J119" i="44"/>
  <c r="K145" i="44"/>
  <c r="J82" i="29"/>
  <c r="J165" i="29"/>
  <c r="M82" i="29"/>
  <c r="M43" i="29"/>
  <c r="M153" i="29"/>
  <c r="M26" i="29"/>
  <c r="M110" i="29"/>
  <c r="M150" i="29"/>
  <c r="G43" i="44"/>
  <c r="H171" i="29"/>
  <c r="H150" i="44"/>
  <c r="J114" i="29"/>
  <c r="L114" i="29"/>
  <c r="M24" i="29"/>
  <c r="K24" i="29"/>
  <c r="J24" i="29"/>
  <c r="L24" i="29"/>
  <c r="H102" i="44"/>
  <c r="J102" i="44"/>
  <c r="K102" i="44"/>
  <c r="J93" i="29"/>
  <c r="K89" i="29"/>
  <c r="M89" i="29"/>
  <c r="L89" i="29"/>
  <c r="J89" i="29"/>
  <c r="K136" i="44"/>
  <c r="J136" i="44"/>
  <c r="H92" i="44"/>
  <c r="J92" i="44"/>
  <c r="K92" i="44"/>
  <c r="H100" i="29"/>
  <c r="M100" i="29"/>
  <c r="K100" i="29"/>
  <c r="L100" i="29"/>
  <c r="L58" i="29"/>
  <c r="K58" i="29"/>
  <c r="J32" i="44"/>
  <c r="G32" i="44" s="1"/>
  <c r="K32" i="44"/>
  <c r="M16" i="29"/>
  <c r="K16" i="29"/>
  <c r="L16" i="29"/>
  <c r="J16" i="29"/>
  <c r="J46" i="44"/>
  <c r="L160" i="29"/>
  <c r="H160" i="29"/>
  <c r="J160" i="29"/>
  <c r="K160" i="29"/>
  <c r="K105" i="44"/>
  <c r="J105" i="44"/>
  <c r="H105" i="44"/>
  <c r="J78" i="44"/>
  <c r="K78" i="44"/>
  <c r="G8" i="44"/>
  <c r="H98" i="44"/>
  <c r="H91" i="44"/>
  <c r="J91" i="44"/>
  <c r="M95" i="29"/>
  <c r="K124" i="44"/>
  <c r="J124" i="44"/>
  <c r="H103" i="44"/>
  <c r="K103" i="44"/>
  <c r="J103" i="44"/>
  <c r="M140" i="29"/>
  <c r="L171" i="29"/>
  <c r="K73" i="29"/>
  <c r="K146" i="29"/>
  <c r="K92" i="29"/>
  <c r="K35" i="29"/>
  <c r="K174" i="29"/>
  <c r="K175" i="29"/>
  <c r="K21" i="29"/>
  <c r="K131" i="29"/>
  <c r="K122" i="29"/>
  <c r="K120" i="29"/>
  <c r="K72" i="29"/>
  <c r="K147" i="29"/>
  <c r="K82" i="29"/>
  <c r="K70" i="29"/>
  <c r="K184" i="29"/>
  <c r="H130" i="44"/>
  <c r="J130" i="44"/>
  <c r="J112" i="29"/>
  <c r="H112" i="29"/>
  <c r="H128" i="44"/>
  <c r="K128" i="44"/>
  <c r="J128" i="44"/>
  <c r="H118" i="29"/>
  <c r="J118" i="29"/>
  <c r="H116" i="29"/>
  <c r="J116" i="29"/>
  <c r="K127" i="44"/>
  <c r="J127" i="44"/>
  <c r="J97" i="29"/>
  <c r="H101" i="44"/>
  <c r="F16" i="29"/>
  <c r="F24" i="29"/>
  <c r="K14" i="44"/>
  <c r="J14" i="44"/>
  <c r="M38" i="29"/>
  <c r="M31" i="29"/>
  <c r="M160" i="29"/>
  <c r="M17" i="29"/>
  <c r="M143" i="29"/>
  <c r="M79" i="29"/>
  <c r="M104" i="29"/>
  <c r="M154" i="29"/>
  <c r="M68" i="29"/>
  <c r="M157" i="29"/>
  <c r="M170" i="29"/>
  <c r="M175" i="29"/>
  <c r="M20" i="29"/>
  <c r="M128" i="29"/>
  <c r="M123" i="29"/>
  <c r="M14" i="29"/>
  <c r="M59" i="29"/>
  <c r="M184" i="29"/>
  <c r="M164" i="29"/>
  <c r="M139" i="29"/>
  <c r="M144" i="29"/>
  <c r="M60" i="29"/>
  <c r="M151" i="29"/>
  <c r="M129" i="29"/>
  <c r="M61" i="29"/>
  <c r="M92" i="29"/>
  <c r="M105" i="29"/>
  <c r="M120" i="29"/>
  <c r="M10" i="29"/>
  <c r="M34" i="29"/>
  <c r="M136" i="29"/>
  <c r="M15" i="29"/>
  <c r="M29" i="29"/>
  <c r="M48" i="29"/>
  <c r="M28" i="29"/>
  <c r="M25" i="29"/>
  <c r="M84" i="29"/>
  <c r="M112" i="29"/>
  <c r="M74" i="29"/>
  <c r="M111" i="29"/>
  <c r="M83" i="29"/>
  <c r="M113" i="29"/>
  <c r="M11" i="29"/>
  <c r="M131" i="29"/>
  <c r="M67" i="29"/>
  <c r="M51" i="29"/>
  <c r="M33" i="29"/>
  <c r="M118" i="29"/>
  <c r="M35" i="29"/>
  <c r="M12" i="29"/>
  <c r="M63" i="29"/>
  <c r="M27" i="29"/>
  <c r="M49" i="29"/>
  <c r="M167" i="29"/>
  <c r="M40" i="29"/>
  <c r="M46" i="29"/>
  <c r="M9" i="29"/>
  <c r="M97" i="29"/>
  <c r="M159" i="29"/>
  <c r="M81" i="29"/>
  <c r="M174" i="29"/>
  <c r="M19" i="29"/>
  <c r="M18" i="29"/>
  <c r="M21" i="29"/>
  <c r="M13" i="29"/>
  <c r="M130" i="29"/>
  <c r="M124" i="29"/>
  <c r="M163" i="29"/>
  <c r="M146" i="29"/>
  <c r="M47" i="29"/>
  <c r="M76" i="29"/>
  <c r="M176" i="29"/>
  <c r="M85" i="29"/>
  <c r="M172" i="29"/>
  <c r="L92" i="29"/>
  <c r="M44" i="29"/>
  <c r="M30" i="29"/>
  <c r="M64" i="29"/>
  <c r="M77" i="29"/>
  <c r="M80" i="29"/>
  <c r="J143" i="29"/>
  <c r="H143" i="29"/>
  <c r="L143" i="29"/>
  <c r="M121" i="29"/>
  <c r="M156" i="29"/>
  <c r="M132" i="29"/>
  <c r="J81" i="29"/>
  <c r="K81" i="29"/>
  <c r="L81" i="29"/>
  <c r="J37" i="29"/>
  <c r="K37" i="29"/>
  <c r="L37" i="29"/>
  <c r="M55" i="29"/>
  <c r="M126" i="29"/>
  <c r="M78" i="29"/>
  <c r="M166" i="29"/>
  <c r="K148" i="29"/>
  <c r="H148" i="29"/>
  <c r="H131" i="29"/>
  <c r="J131" i="29"/>
  <c r="L131" i="29"/>
  <c r="N7" i="29"/>
  <c r="M122" i="29"/>
  <c r="M171" i="29"/>
  <c r="M45" i="29"/>
  <c r="M70" i="29"/>
  <c r="M69" i="29"/>
  <c r="M133" i="29"/>
  <c r="M161" i="29"/>
  <c r="M87" i="29"/>
  <c r="H96" i="29"/>
  <c r="H102" i="29"/>
  <c r="K102" i="29"/>
  <c r="K51" i="44"/>
  <c r="J51" i="44"/>
  <c r="K38" i="44"/>
  <c r="J38" i="44"/>
  <c r="H105" i="29"/>
  <c r="K105" i="29"/>
  <c r="H81" i="44"/>
  <c r="J81" i="44"/>
  <c r="K26" i="44"/>
  <c r="J26" i="44"/>
  <c r="K139" i="44"/>
  <c r="J139" i="44"/>
  <c r="H139" i="44"/>
  <c r="H155" i="29"/>
  <c r="K44" i="29"/>
  <c r="J44" i="29"/>
  <c r="F44" i="29" s="1"/>
  <c r="K12" i="44"/>
  <c r="J12" i="44"/>
  <c r="G12" i="44" s="1"/>
  <c r="P21" i="43"/>
  <c r="N138" i="29"/>
  <c r="N85" i="29"/>
  <c r="N14" i="29"/>
  <c r="N119" i="29"/>
  <c r="N27" i="29"/>
  <c r="N124" i="29"/>
  <c r="N39" i="29"/>
  <c r="N174" i="29"/>
  <c r="N18" i="29"/>
  <c r="N15" i="29"/>
  <c r="N107" i="29"/>
  <c r="N82" i="29"/>
  <c r="N168" i="29"/>
  <c r="N55" i="29"/>
  <c r="N47" i="29"/>
  <c r="N72" i="29"/>
  <c r="N86" i="29"/>
  <c r="N113" i="29"/>
  <c r="N40" i="29"/>
  <c r="N128" i="29"/>
  <c r="N53" i="29"/>
  <c r="N151" i="29"/>
  <c r="N150" i="29"/>
  <c r="N67" i="29"/>
  <c r="N103" i="29"/>
  <c r="N164" i="29"/>
  <c r="N134" i="29"/>
  <c r="N173" i="29"/>
  <c r="N64" i="29"/>
  <c r="N16" i="29"/>
  <c r="N125" i="29"/>
  <c r="N142" i="29"/>
  <c r="N161" i="29"/>
  <c r="N108" i="29"/>
  <c r="N77" i="29"/>
  <c r="N34" i="29"/>
  <c r="N153" i="29"/>
  <c r="N127" i="29"/>
  <c r="N70" i="29"/>
  <c r="N148" i="29"/>
  <c r="N68" i="29"/>
  <c r="N13" i="29"/>
  <c r="N46" i="29"/>
  <c r="N157" i="29"/>
  <c r="N10" i="29"/>
  <c r="N143" i="29"/>
  <c r="N159" i="29"/>
  <c r="N129" i="29"/>
  <c r="N30" i="29"/>
  <c r="N130" i="29"/>
  <c r="N87" i="29"/>
  <c r="N90" i="29"/>
  <c r="N92" i="29"/>
  <c r="N21" i="29"/>
  <c r="N36" i="29"/>
  <c r="N162" i="29"/>
  <c r="N184" i="29"/>
  <c r="N84" i="29"/>
  <c r="N109" i="29"/>
  <c r="O7" i="29"/>
  <c r="N79" i="29"/>
  <c r="N31" i="29"/>
  <c r="N41" i="29"/>
  <c r="N59" i="29"/>
  <c r="N29" i="29"/>
  <c r="N122" i="29"/>
  <c r="N23" i="29"/>
  <c r="N166" i="29"/>
  <c r="N60" i="29"/>
  <c r="N132" i="29"/>
  <c r="N104" i="29"/>
  <c r="N121" i="29"/>
  <c r="N149" i="29"/>
  <c r="N155" i="29"/>
  <c r="N20" i="29"/>
  <c r="N123" i="29"/>
  <c r="N75" i="29"/>
  <c r="N140" i="29"/>
  <c r="N169" i="29"/>
  <c r="N112" i="29"/>
  <c r="N88" i="29"/>
  <c r="N136" i="29"/>
  <c r="N147" i="29"/>
  <c r="N144" i="29"/>
  <c r="N106" i="29"/>
  <c r="N54" i="29"/>
  <c r="N171" i="29"/>
  <c r="N163" i="29"/>
  <c r="N73" i="29"/>
  <c r="N131" i="29"/>
  <c r="N105" i="29"/>
  <c r="N99" i="29"/>
  <c r="N81" i="29"/>
  <c r="N28" i="29"/>
  <c r="N71" i="29"/>
  <c r="N165" i="29"/>
  <c r="N42" i="29"/>
  <c r="N146" i="29"/>
  <c r="N66" i="29"/>
  <c r="N139" i="29"/>
  <c r="N57" i="29"/>
  <c r="N83" i="29"/>
  <c r="N45" i="29"/>
  <c r="N11" i="29"/>
  <c r="N176" i="29"/>
  <c r="N141" i="29"/>
  <c r="N17" i="29"/>
  <c r="N102" i="29"/>
  <c r="N9" i="29"/>
  <c r="N32" i="29"/>
  <c r="N118" i="29"/>
  <c r="N126" i="29"/>
  <c r="N56" i="29"/>
  <c r="N95" i="29"/>
  <c r="N167" i="29"/>
  <c r="N38" i="29"/>
  <c r="N25" i="29"/>
  <c r="N152" i="29"/>
  <c r="N52" i="29"/>
  <c r="N170" i="29"/>
  <c r="N44" i="29"/>
  <c r="N22" i="29"/>
  <c r="N50" i="29"/>
  <c r="N43" i="29"/>
  <c r="N98" i="29"/>
  <c r="N156" i="29"/>
  <c r="N24" i="29"/>
  <c r="N100" i="29"/>
  <c r="N154" i="29"/>
  <c r="N58" i="29"/>
  <c r="N74" i="29"/>
  <c r="N89" i="29"/>
  <c r="N114" i="29"/>
  <c r="N160" i="29"/>
  <c r="N80" i="29"/>
  <c r="F37" i="29"/>
  <c r="G38" i="44"/>
  <c r="G26" i="44"/>
  <c r="O50" i="29"/>
  <c r="O74" i="29"/>
  <c r="O94" i="29"/>
  <c r="O20" i="29"/>
  <c r="O101" i="29"/>
  <c r="O64" i="29"/>
  <c r="O96" i="29"/>
  <c r="O23" i="29"/>
  <c r="O97" i="29"/>
  <c r="O25" i="29"/>
  <c r="O137" i="29"/>
  <c r="O119" i="29"/>
  <c r="O107" i="29"/>
  <c r="O127" i="29"/>
  <c r="O122" i="29"/>
  <c r="O43" i="29"/>
  <c r="O121" i="29"/>
  <c r="O118" i="29"/>
  <c r="O61" i="29"/>
  <c r="O163" i="29"/>
  <c r="O83" i="29"/>
  <c r="O33" i="29"/>
  <c r="O39" i="29"/>
  <c r="O46" i="29"/>
  <c r="O51" i="29"/>
  <c r="O131" i="29"/>
  <c r="O124" i="29"/>
  <c r="O85" i="29"/>
  <c r="O80" i="29"/>
  <c r="O22" i="29"/>
  <c r="O123" i="29"/>
  <c r="O154" i="29"/>
  <c r="O68" i="29"/>
  <c r="O28" i="29"/>
  <c r="O62" i="29"/>
  <c r="O120" i="29"/>
  <c r="O175" i="29"/>
  <c r="O44" i="29"/>
  <c r="O146" i="29"/>
  <c r="O18" i="29"/>
  <c r="O77" i="29"/>
  <c r="O153" i="29"/>
  <c r="O29" i="29"/>
  <c r="O30" i="29"/>
  <c r="O159" i="29"/>
  <c r="O86" i="29"/>
  <c r="O49" i="29"/>
  <c r="O144" i="29"/>
  <c r="O132" i="29"/>
  <c r="O71" i="29"/>
  <c r="O56" i="29"/>
  <c r="O67" i="29"/>
  <c r="O136" i="29"/>
  <c r="O40" i="29"/>
  <c r="O112" i="29"/>
  <c r="O168" i="29"/>
  <c r="O108" i="29"/>
  <c r="O54" i="29"/>
  <c r="O184" i="29"/>
  <c r="O11" i="29"/>
  <c r="O140" i="29"/>
  <c r="O63" i="29"/>
  <c r="O109" i="29"/>
  <c r="O52" i="29"/>
  <c r="O36" i="29"/>
  <c r="O162" i="29"/>
  <c r="O73" i="29"/>
  <c r="O78" i="29"/>
  <c r="O139" i="29"/>
  <c r="O152" i="29"/>
  <c r="O88" i="29"/>
  <c r="O103" i="29"/>
  <c r="O59" i="29"/>
  <c r="O130" i="29"/>
  <c r="O15" i="29"/>
  <c r="O58" i="29"/>
  <c r="O114" i="29"/>
  <c r="O89" i="29"/>
  <c r="O31" i="29"/>
  <c r="O24" i="29"/>
  <c r="O14" i="29"/>
  <c r="O160" i="29"/>
  <c r="O10" i="29"/>
  <c r="E87" i="52"/>
  <c r="D57" i="52"/>
  <c r="H122" i="44" l="1"/>
  <c r="J122" i="44"/>
  <c r="J118" i="44"/>
  <c r="H118" i="44"/>
  <c r="K118" i="44"/>
  <c r="G14" i="44"/>
  <c r="K121" i="44"/>
  <c r="H121" i="44"/>
  <c r="H117" i="44"/>
  <c r="K117" i="44"/>
  <c r="H90" i="44"/>
  <c r="J90" i="44"/>
  <c r="K62" i="44"/>
  <c r="J62" i="44"/>
  <c r="J17" i="44"/>
  <c r="K17" i="44"/>
  <c r="F21" i="28"/>
  <c r="N15" i="28"/>
  <c r="O106" i="29"/>
  <c r="O115" i="29"/>
  <c r="O60" i="29"/>
  <c r="O164" i="29"/>
  <c r="O166" i="29"/>
  <c r="O135" i="29"/>
  <c r="O90" i="29"/>
  <c r="O158" i="29"/>
  <c r="O157" i="29"/>
  <c r="O155" i="29"/>
  <c r="O26" i="29"/>
  <c r="O91" i="29"/>
  <c r="O174" i="29"/>
  <c r="O129" i="29"/>
  <c r="O145" i="29"/>
  <c r="O148" i="29"/>
  <c r="O104" i="29"/>
  <c r="O116" i="29"/>
  <c r="O65" i="29"/>
  <c r="O169" i="29"/>
  <c r="O173" i="29"/>
  <c r="O42" i="29"/>
  <c r="O98" i="29"/>
  <c r="O171" i="29"/>
  <c r="O19" i="29"/>
  <c r="O17" i="29"/>
  <c r="O110" i="29"/>
  <c r="O35" i="29"/>
  <c r="O111" i="29"/>
  <c r="O156" i="29"/>
  <c r="O34" i="29"/>
  <c r="O55" i="29"/>
  <c r="O161" i="29"/>
  <c r="O149" i="29"/>
  <c r="O151" i="29"/>
  <c r="O138" i="29"/>
  <c r="O167" i="29"/>
  <c r="O38" i="29"/>
  <c r="O45" i="29"/>
  <c r="O9" i="29"/>
  <c r="O143" i="29"/>
  <c r="O13" i="29"/>
  <c r="O48" i="29"/>
  <c r="O81" i="29"/>
  <c r="O141" i="29"/>
  <c r="O92" i="29"/>
  <c r="O87" i="29"/>
  <c r="O99" i="29"/>
  <c r="O69" i="29"/>
  <c r="O147" i="29"/>
  <c r="O113" i="29"/>
  <c r="O128" i="29"/>
  <c r="O53" i="29"/>
  <c r="O150" i="29"/>
  <c r="O21" i="29"/>
  <c r="O100" i="29"/>
  <c r="O93" i="29"/>
  <c r="O66" i="29"/>
  <c r="O16" i="29"/>
  <c r="O79" i="29"/>
  <c r="O57" i="29"/>
  <c r="O134" i="29"/>
  <c r="O95" i="29"/>
  <c r="O126" i="29"/>
  <c r="O170" i="29"/>
  <c r="O84" i="29"/>
  <c r="O37" i="29"/>
  <c r="P7" i="29"/>
  <c r="O176" i="29"/>
  <c r="O75" i="29"/>
  <c r="O105" i="29"/>
  <c r="O76" i="29"/>
  <c r="O12" i="29"/>
  <c r="O165" i="29"/>
  <c r="O27" i="29"/>
  <c r="O142" i="29"/>
  <c r="O82" i="29"/>
  <c r="O47" i="29"/>
  <c r="O72" i="29"/>
  <c r="O32" i="29"/>
  <c r="O133" i="29"/>
  <c r="O125" i="29"/>
  <c r="O172" i="29"/>
  <c r="O102" i="29"/>
  <c r="O41" i="29"/>
  <c r="O70" i="29"/>
  <c r="J121" i="44"/>
  <c r="H135" i="29"/>
  <c r="K135" i="29"/>
  <c r="L135" i="29"/>
  <c r="M135" i="29"/>
  <c r="N135" i="29"/>
  <c r="J135" i="29"/>
  <c r="J158" i="29"/>
  <c r="H158" i="29"/>
  <c r="M155" i="29"/>
  <c r="J155" i="29"/>
  <c r="K155" i="29"/>
  <c r="H142" i="29"/>
  <c r="J142" i="29"/>
  <c r="J115" i="29"/>
  <c r="H115" i="29"/>
  <c r="N115" i="29"/>
  <c r="M88" i="29"/>
  <c r="K88" i="29"/>
  <c r="L85" i="29"/>
  <c r="J85" i="29"/>
  <c r="K85" i="29"/>
  <c r="J62" i="29"/>
  <c r="N62" i="29"/>
  <c r="J53" i="29"/>
  <c r="K53" i="29"/>
  <c r="M53" i="29"/>
  <c r="L158" i="29"/>
  <c r="H117" i="29"/>
  <c r="J117" i="29"/>
  <c r="C117" i="29"/>
  <c r="A177" i="29"/>
  <c r="N21" i="28"/>
  <c r="J151" i="29"/>
  <c r="H151" i="29"/>
  <c r="K151" i="29"/>
  <c r="L151" i="29"/>
  <c r="J148" i="29"/>
  <c r="L148" i="29"/>
  <c r="J126" i="29"/>
  <c r="H126" i="29"/>
  <c r="L126" i="29"/>
  <c r="H114" i="29"/>
  <c r="K114" i="29"/>
  <c r="H103" i="29"/>
  <c r="L103" i="29"/>
  <c r="K103" i="29"/>
  <c r="K101" i="29"/>
  <c r="L101" i="29"/>
  <c r="M101" i="29"/>
  <c r="N101" i="29"/>
  <c r="J99" i="29"/>
  <c r="M99" i="29"/>
  <c r="J96" i="29"/>
  <c r="L96" i="29"/>
  <c r="K96" i="29"/>
  <c r="N96" i="29"/>
  <c r="K93" i="29"/>
  <c r="L93" i="29"/>
  <c r="M93" i="29"/>
  <c r="N93" i="29"/>
  <c r="H93" i="29"/>
  <c r="L91" i="29"/>
  <c r="K91" i="29"/>
  <c r="K90" i="29"/>
  <c r="J90" i="29"/>
  <c r="H90" i="29"/>
  <c r="L87" i="29"/>
  <c r="K87" i="29"/>
  <c r="J87" i="29"/>
  <c r="J38" i="29"/>
  <c r="K38" i="29"/>
  <c r="L147" i="29"/>
  <c r="J147" i="29"/>
  <c r="J17" i="29"/>
  <c r="L17" i="29"/>
  <c r="H100" i="44"/>
  <c r="J100" i="44"/>
  <c r="N12" i="29"/>
  <c r="N120" i="29"/>
  <c r="N63" i="29"/>
  <c r="N69" i="29"/>
  <c r="N117" i="29"/>
  <c r="N111" i="29"/>
  <c r="N91" i="29"/>
  <c r="N116" i="29"/>
  <c r="N76" i="29"/>
  <c r="N35" i="29"/>
  <c r="N175" i="29"/>
  <c r="N37" i="29"/>
  <c r="N19" i="29"/>
  <c r="N33" i="29"/>
  <c r="N177" i="29" s="1"/>
  <c r="O13" i="28" s="1"/>
  <c r="N49" i="29"/>
  <c r="N48" i="29"/>
  <c r="N26" i="29"/>
  <c r="N158" i="29"/>
  <c r="N65" i="29"/>
  <c r="N97" i="29"/>
  <c r="N145" i="29"/>
  <c r="N78" i="29"/>
  <c r="N137" i="29"/>
  <c r="N94" i="29"/>
  <c r="N61" i="29"/>
  <c r="N51" i="29"/>
  <c r="N133" i="29"/>
  <c r="N110" i="29"/>
  <c r="N172" i="29"/>
  <c r="M119" i="29"/>
  <c r="M141" i="29"/>
  <c r="M165" i="29"/>
  <c r="M73" i="29"/>
  <c r="M91" i="29"/>
  <c r="M41" i="29"/>
  <c r="M114" i="29"/>
  <c r="M58" i="29"/>
  <c r="M98" i="29"/>
  <c r="M94" i="29"/>
  <c r="M96" i="29"/>
  <c r="M109" i="29"/>
  <c r="M56" i="29"/>
  <c r="M106" i="29"/>
  <c r="M32" i="29"/>
  <c r="M54" i="29"/>
  <c r="M158" i="29"/>
  <c r="M72" i="29"/>
  <c r="M23" i="29"/>
  <c r="M152" i="29"/>
  <c r="M168" i="29"/>
  <c r="M42" i="29"/>
  <c r="M37" i="29"/>
  <c r="M86" i="29"/>
  <c r="M148" i="29"/>
  <c r="M50" i="29"/>
  <c r="M142" i="29"/>
  <c r="M125" i="29"/>
  <c r="M116" i="29"/>
  <c r="M22" i="29"/>
  <c r="M162" i="29"/>
  <c r="M138" i="29"/>
  <c r="M145" i="29"/>
  <c r="M115" i="29"/>
  <c r="M62" i="29"/>
  <c r="M57" i="29"/>
  <c r="M102" i="29"/>
  <c r="M65" i="29"/>
  <c r="M103" i="29"/>
  <c r="M127" i="29"/>
  <c r="M66" i="29"/>
  <c r="M169" i="29"/>
  <c r="M90" i="29"/>
  <c r="K140" i="44"/>
  <c r="H156" i="29"/>
  <c r="J156" i="29"/>
  <c r="K156" i="29"/>
  <c r="J130" i="29"/>
  <c r="L130" i="29"/>
  <c r="K130" i="29"/>
  <c r="J75" i="29"/>
  <c r="L75" i="29"/>
  <c r="J56" i="29"/>
  <c r="K56" i="29"/>
  <c r="H93" i="44"/>
  <c r="J93" i="44"/>
  <c r="L184" i="29"/>
  <c r="L12" i="29"/>
  <c r="J119" i="29"/>
  <c r="J110" i="29"/>
  <c r="H110" i="29"/>
  <c r="K104" i="29"/>
  <c r="J104" i="29"/>
  <c r="H145" i="29"/>
  <c r="K145" i="29"/>
  <c r="J51" i="29"/>
  <c r="K51" i="29"/>
  <c r="H132" i="44"/>
  <c r="J132" i="44"/>
  <c r="K98" i="44"/>
  <c r="K122" i="44"/>
  <c r="K130" i="44"/>
  <c r="K36" i="44"/>
  <c r="K135" i="44"/>
  <c r="K83" i="44"/>
  <c r="K53" i="44"/>
  <c r="K100" i="44"/>
  <c r="K76" i="44"/>
  <c r="K90" i="44"/>
  <c r="K65" i="44"/>
  <c r="L7" i="44"/>
  <c r="K16" i="44"/>
  <c r="K131" i="44"/>
  <c r="K144" i="44"/>
  <c r="K152" i="44"/>
  <c r="K20" i="44"/>
  <c r="K120" i="44"/>
  <c r="K84" i="44"/>
  <c r="K57" i="44"/>
  <c r="K147" i="44"/>
  <c r="K9" i="44"/>
  <c r="K43" i="44"/>
  <c r="K101" i="44"/>
  <c r="K79" i="44"/>
  <c r="K27" i="44"/>
  <c r="K37" i="44"/>
  <c r="K68" i="44"/>
  <c r="K80" i="44"/>
  <c r="K59" i="44"/>
  <c r="K15" i="44"/>
  <c r="K56" i="44"/>
  <c r="K34" i="44"/>
  <c r="K133" i="44"/>
  <c r="K146" i="44"/>
  <c r="K112" i="44"/>
  <c r="K129" i="44"/>
  <c r="K49" i="44"/>
  <c r="K99" i="44"/>
  <c r="K40" i="44"/>
  <c r="K8" i="44"/>
  <c r="K10" i="44"/>
  <c r="K87" i="44"/>
  <c r="K177" i="29" l="1"/>
  <c r="O10" i="28" s="1"/>
  <c r="K153" i="44"/>
  <c r="Q10" i="43" s="1"/>
  <c r="G17" i="44"/>
  <c r="F53" i="29"/>
  <c r="F17" i="29"/>
  <c r="J177" i="29"/>
  <c r="F38" i="29"/>
  <c r="K117" i="29"/>
  <c r="M117" i="29"/>
  <c r="M177" i="29" s="1"/>
  <c r="O12" i="28" s="1"/>
  <c r="L117" i="29"/>
  <c r="L177" i="29" s="1"/>
  <c r="O11" i="28" s="1"/>
  <c r="O117" i="29"/>
  <c r="O177" i="29" s="1"/>
  <c r="O14" i="28" s="1"/>
  <c r="J153" i="44"/>
  <c r="F51" i="29"/>
  <c r="P39" i="29"/>
  <c r="P157" i="29"/>
  <c r="P84" i="29"/>
  <c r="P138" i="29"/>
  <c r="P32" i="29"/>
  <c r="P76" i="29"/>
  <c r="P50" i="29"/>
  <c r="P136" i="29"/>
  <c r="P37" i="29"/>
  <c r="P47" i="29"/>
  <c r="P130" i="29"/>
  <c r="P34" i="29"/>
  <c r="P133" i="29"/>
  <c r="P80" i="29"/>
  <c r="P170" i="29"/>
  <c r="P36" i="29"/>
  <c r="P43" i="29"/>
  <c r="P163" i="29"/>
  <c r="P156" i="29"/>
  <c r="P167" i="29"/>
  <c r="P140" i="29"/>
  <c r="P77" i="29"/>
  <c r="P87" i="29"/>
  <c r="P53" i="29"/>
  <c r="P154" i="29"/>
  <c r="P121" i="29"/>
  <c r="P19" i="29"/>
  <c r="P174" i="29"/>
  <c r="P96" i="29"/>
  <c r="P119" i="29"/>
  <c r="P142" i="29"/>
  <c r="P44" i="29"/>
  <c r="P49" i="29"/>
  <c r="P139" i="29"/>
  <c r="P66" i="29"/>
  <c r="P123" i="29"/>
  <c r="P33" i="29"/>
  <c r="P60" i="29"/>
  <c r="P89" i="29"/>
  <c r="P48" i="29"/>
  <c r="P57" i="29"/>
  <c r="P58" i="29"/>
  <c r="P120" i="29"/>
  <c r="P94" i="29"/>
  <c r="P122" i="29"/>
  <c r="P69" i="29"/>
  <c r="P11" i="29"/>
  <c r="P169" i="29"/>
  <c r="P45" i="29"/>
  <c r="P165" i="29"/>
  <c r="P71" i="29"/>
  <c r="P172" i="29"/>
  <c r="P105" i="29"/>
  <c r="P107" i="29"/>
  <c r="P104" i="29"/>
  <c r="P61" i="29"/>
  <c r="P147" i="29"/>
  <c r="P168" i="29"/>
  <c r="P40" i="29"/>
  <c r="P29" i="29"/>
  <c r="P82" i="29"/>
  <c r="Q7" i="29"/>
  <c r="P79" i="29"/>
  <c r="P125" i="29"/>
  <c r="P117" i="29"/>
  <c r="P151" i="29"/>
  <c r="P78" i="29"/>
  <c r="P10" i="29"/>
  <c r="P118" i="29"/>
  <c r="P112" i="29"/>
  <c r="P106" i="29"/>
  <c r="P93" i="29"/>
  <c r="P100" i="29"/>
  <c r="P63" i="29"/>
  <c r="P9" i="29"/>
  <c r="P184" i="29"/>
  <c r="P59" i="29"/>
  <c r="P113" i="29"/>
  <c r="P110" i="29"/>
  <c r="P55" i="29"/>
  <c r="P88" i="29"/>
  <c r="P17" i="29"/>
  <c r="P83" i="29"/>
  <c r="P143" i="29"/>
  <c r="P124" i="29"/>
  <c r="P64" i="29"/>
  <c r="P99" i="29"/>
  <c r="P15" i="29"/>
  <c r="P42" i="29"/>
  <c r="P103" i="29"/>
  <c r="P85" i="29"/>
  <c r="P38" i="29"/>
  <c r="P30" i="29"/>
  <c r="P108" i="29"/>
  <c r="P14" i="29"/>
  <c r="P144" i="29"/>
  <c r="P65" i="29"/>
  <c r="P161" i="29"/>
  <c r="P46" i="29"/>
  <c r="P72" i="29"/>
  <c r="P175" i="29"/>
  <c r="P155" i="29"/>
  <c r="P24" i="29"/>
  <c r="P115" i="29"/>
  <c r="P160" i="29"/>
  <c r="P102" i="29"/>
  <c r="P141" i="29"/>
  <c r="P81" i="29"/>
  <c r="P173" i="29"/>
  <c r="P164" i="29"/>
  <c r="P62" i="29"/>
  <c r="P86" i="29"/>
  <c r="P95" i="29"/>
  <c r="P98" i="29"/>
  <c r="P101" i="29"/>
  <c r="P20" i="29"/>
  <c r="P41" i="29"/>
  <c r="P54" i="29"/>
  <c r="P150" i="29"/>
  <c r="P25" i="29"/>
  <c r="P129" i="29"/>
  <c r="P16" i="29"/>
  <c r="P137" i="29"/>
  <c r="P176" i="29"/>
  <c r="P28" i="29"/>
  <c r="P111" i="29"/>
  <c r="P75" i="29"/>
  <c r="P162" i="29"/>
  <c r="P70" i="29"/>
  <c r="P52" i="29"/>
  <c r="P126" i="29"/>
  <c r="P68" i="29"/>
  <c r="P13" i="29"/>
  <c r="P22" i="29"/>
  <c r="P128" i="29"/>
  <c r="P51" i="29"/>
  <c r="P56" i="29"/>
  <c r="P145" i="29"/>
  <c r="P149" i="29"/>
  <c r="P146" i="29"/>
  <c r="P171" i="29"/>
  <c r="P97" i="29"/>
  <c r="P27" i="29"/>
  <c r="P92" i="29"/>
  <c r="P21" i="29"/>
  <c r="P73" i="29"/>
  <c r="P134" i="29"/>
  <c r="P31" i="29"/>
  <c r="P12" i="29"/>
  <c r="P159" i="29"/>
  <c r="P135" i="29"/>
  <c r="P166" i="29"/>
  <c r="P35" i="29"/>
  <c r="P26" i="29"/>
  <c r="P152" i="29"/>
  <c r="P23" i="29"/>
  <c r="P132" i="29"/>
  <c r="P18" i="29"/>
  <c r="P91" i="29"/>
  <c r="P158" i="29"/>
  <c r="P116" i="29"/>
  <c r="P90" i="29"/>
  <c r="P153" i="29"/>
  <c r="P74" i="29"/>
  <c r="P131" i="29"/>
  <c r="P67" i="29"/>
  <c r="P109" i="29"/>
  <c r="P114" i="29"/>
  <c r="P127" i="29"/>
  <c r="P148" i="29"/>
  <c r="L27" i="44"/>
  <c r="L59" i="44"/>
  <c r="L11" i="44"/>
  <c r="L56" i="44"/>
  <c r="L88" i="44"/>
  <c r="L84" i="44"/>
  <c r="L43" i="44"/>
  <c r="L45" i="44"/>
  <c r="L51" i="44"/>
  <c r="L100" i="44"/>
  <c r="L122" i="44"/>
  <c r="L17" i="44"/>
  <c r="L102" i="44"/>
  <c r="L32" i="44"/>
  <c r="L105" i="44"/>
  <c r="L146" i="44"/>
  <c r="L35" i="44"/>
  <c r="L62" i="44"/>
  <c r="L76" i="44"/>
  <c r="L79" i="44"/>
  <c r="L54" i="44"/>
  <c r="L99" i="44"/>
  <c r="L72" i="44"/>
  <c r="L28" i="44"/>
  <c r="L124" i="44"/>
  <c r="L68" i="44"/>
  <c r="L147" i="44"/>
  <c r="L61" i="44"/>
  <c r="L141" i="44"/>
  <c r="M7" i="44"/>
  <c r="L57" i="44"/>
  <c r="L8" i="44"/>
  <c r="L89" i="44"/>
  <c r="L26" i="44"/>
  <c r="L112" i="44"/>
  <c r="L49" i="44"/>
  <c r="L20" i="44"/>
  <c r="L135" i="44"/>
  <c r="L23" i="44"/>
  <c r="L116" i="44"/>
  <c r="L86" i="44"/>
  <c r="L91" i="44"/>
  <c r="L125" i="44"/>
  <c r="L38" i="44"/>
  <c r="L69" i="44"/>
  <c r="L106" i="44"/>
  <c r="L136" i="44"/>
  <c r="L92" i="44"/>
  <c r="L39" i="44"/>
  <c r="L150" i="44"/>
  <c r="L98" i="44"/>
  <c r="L143" i="44"/>
  <c r="L10" i="44"/>
  <c r="L93" i="44"/>
  <c r="L151" i="44"/>
  <c r="L149" i="44"/>
  <c r="L118" i="44"/>
  <c r="L123" i="44"/>
  <c r="L131" i="44"/>
  <c r="L94" i="44"/>
  <c r="L83" i="44"/>
  <c r="L53" i="44"/>
  <c r="L50" i="44"/>
  <c r="L90" i="44"/>
  <c r="L104" i="44"/>
  <c r="L81" i="44"/>
  <c r="L36" i="44"/>
  <c r="L82" i="44"/>
  <c r="L109" i="44"/>
  <c r="L44" i="44"/>
  <c r="L65" i="44"/>
  <c r="L85" i="44"/>
  <c r="L41" i="44"/>
  <c r="L78" i="44"/>
  <c r="L52" i="44"/>
  <c r="L142" i="44"/>
  <c r="L103" i="44"/>
  <c r="L31" i="44"/>
  <c r="L64" i="44"/>
  <c r="L127" i="44"/>
  <c r="L134" i="44"/>
  <c r="L113" i="44"/>
  <c r="L21" i="44"/>
  <c r="L75" i="44"/>
  <c r="L13" i="44"/>
  <c r="L24" i="44"/>
  <c r="L60" i="44"/>
  <c r="L121" i="44"/>
  <c r="L47" i="44"/>
  <c r="L80" i="44"/>
  <c r="L87" i="44"/>
  <c r="L55" i="44"/>
  <c r="L12" i="44"/>
  <c r="L9" i="44"/>
  <c r="L101" i="44"/>
  <c r="L115" i="44"/>
  <c r="L46" i="44"/>
  <c r="L14" i="44"/>
  <c r="L137" i="44"/>
  <c r="L140" i="44"/>
  <c r="L34" i="44"/>
  <c r="L15" i="44"/>
  <c r="L145" i="44"/>
  <c r="L96" i="44"/>
  <c r="L33" i="44"/>
  <c r="L40" i="44"/>
  <c r="L66" i="44"/>
  <c r="L48" i="44"/>
  <c r="L114" i="44"/>
  <c r="L67" i="44"/>
  <c r="L133" i="44"/>
  <c r="L144" i="44"/>
  <c r="L111" i="44"/>
  <c r="L18" i="44"/>
  <c r="L29" i="44"/>
  <c r="L77" i="44"/>
  <c r="L129" i="44"/>
  <c r="L42" i="44"/>
  <c r="L22" i="44"/>
  <c r="L108" i="44"/>
  <c r="L73" i="44"/>
  <c r="L120" i="44"/>
  <c r="L132" i="44"/>
  <c r="L110" i="44"/>
  <c r="L128" i="44"/>
  <c r="L71" i="44"/>
  <c r="L126" i="44"/>
  <c r="L148" i="44"/>
  <c r="L107" i="44"/>
  <c r="L97" i="44"/>
  <c r="L139" i="44"/>
  <c r="L70" i="44"/>
  <c r="L30" i="44"/>
  <c r="L25" i="44"/>
  <c r="L63" i="44"/>
  <c r="L119" i="44"/>
  <c r="L74" i="44"/>
  <c r="L19" i="44"/>
  <c r="L37" i="44"/>
  <c r="L138" i="44"/>
  <c r="L95" i="44"/>
  <c r="L130" i="44"/>
  <c r="L117" i="44"/>
  <c r="L16" i="44"/>
  <c r="L152" i="44"/>
  <c r="L58" i="44"/>
  <c r="F56" i="29"/>
  <c r="F62" i="29"/>
  <c r="L153" i="44" l="1"/>
  <c r="Q11" i="43" s="1"/>
  <c r="J154" i="44"/>
  <c r="Q9" i="43"/>
  <c r="P177" i="29"/>
  <c r="O15" i="28" s="1"/>
  <c r="M100" i="44"/>
  <c r="M104" i="44"/>
  <c r="M51" i="44"/>
  <c r="M53" i="44"/>
  <c r="M129" i="44"/>
  <c r="M107" i="44"/>
  <c r="M54" i="44"/>
  <c r="M59" i="44"/>
  <c r="M37" i="44"/>
  <c r="M79" i="44"/>
  <c r="M58" i="44"/>
  <c r="M12" i="44"/>
  <c r="M98" i="44"/>
  <c r="M84" i="44"/>
  <c r="M82" i="44"/>
  <c r="M139" i="44"/>
  <c r="M113" i="44"/>
  <c r="M35" i="44"/>
  <c r="M146" i="44"/>
  <c r="M115" i="44"/>
  <c r="M75" i="44"/>
  <c r="M103" i="44"/>
  <c r="M28" i="44"/>
  <c r="M26" i="44"/>
  <c r="M131" i="44"/>
  <c r="M14" i="44"/>
  <c r="M62" i="44"/>
  <c r="N7" i="44"/>
  <c r="M135" i="44"/>
  <c r="M117" i="44"/>
  <c r="M83" i="44"/>
  <c r="M152" i="44"/>
  <c r="M147" i="44"/>
  <c r="M31" i="44"/>
  <c r="M109" i="44"/>
  <c r="M92" i="44"/>
  <c r="M105" i="44"/>
  <c r="M137" i="44"/>
  <c r="M8" i="44"/>
  <c r="M65" i="44"/>
  <c r="M30" i="44"/>
  <c r="M44" i="44"/>
  <c r="M48" i="44"/>
  <c r="M72" i="44"/>
  <c r="M18" i="44"/>
  <c r="M36" i="44"/>
  <c r="M64" i="44"/>
  <c r="M89" i="44"/>
  <c r="M85" i="44"/>
  <c r="M145" i="44"/>
  <c r="M24" i="44"/>
  <c r="M93" i="44"/>
  <c r="M23" i="44"/>
  <c r="M122" i="44"/>
  <c r="M108" i="44"/>
  <c r="M40" i="44"/>
  <c r="M148" i="44"/>
  <c r="M68" i="44"/>
  <c r="M52" i="44"/>
  <c r="M33" i="44"/>
  <c r="M118" i="44"/>
  <c r="M61" i="44"/>
  <c r="M46" i="44"/>
  <c r="M78" i="44"/>
  <c r="M140" i="44"/>
  <c r="M138" i="44"/>
  <c r="M87" i="44"/>
  <c r="M149" i="44"/>
  <c r="M73" i="44"/>
  <c r="M88" i="44"/>
  <c r="M57" i="44"/>
  <c r="M16" i="44"/>
  <c r="M9" i="44"/>
  <c r="M112" i="44"/>
  <c r="M95" i="44"/>
  <c r="M19" i="44"/>
  <c r="M134" i="44"/>
  <c r="M10" i="44"/>
  <c r="M25" i="44"/>
  <c r="M29" i="44"/>
  <c r="M114" i="44"/>
  <c r="M74" i="44"/>
  <c r="M71" i="44"/>
  <c r="M119" i="44"/>
  <c r="M102" i="44"/>
  <c r="M143" i="44"/>
  <c r="M128" i="44"/>
  <c r="M141" i="44"/>
  <c r="M55" i="44"/>
  <c r="M101" i="44"/>
  <c r="M67" i="44"/>
  <c r="M17" i="44"/>
  <c r="M123" i="44"/>
  <c r="M142" i="44"/>
  <c r="M116" i="44"/>
  <c r="M21" i="44"/>
  <c r="M97" i="44"/>
  <c r="M66" i="44"/>
  <c r="M38" i="44"/>
  <c r="M15" i="44"/>
  <c r="M126" i="44"/>
  <c r="M120" i="44"/>
  <c r="M45" i="44"/>
  <c r="M20" i="44"/>
  <c r="M49" i="44"/>
  <c r="M121" i="44"/>
  <c r="M106" i="44"/>
  <c r="M69" i="44"/>
  <c r="M27" i="44"/>
  <c r="M132" i="44"/>
  <c r="M56" i="44"/>
  <c r="M94" i="44"/>
  <c r="M125" i="44"/>
  <c r="M77" i="44"/>
  <c r="M41" i="44"/>
  <c r="M136" i="44"/>
  <c r="M130" i="44"/>
  <c r="M80" i="44"/>
  <c r="M11" i="44"/>
  <c r="M47" i="44"/>
  <c r="M76" i="44"/>
  <c r="M39" i="44"/>
  <c r="M34" i="44"/>
  <c r="M22" i="44"/>
  <c r="M124" i="44"/>
  <c r="M96" i="44"/>
  <c r="M90" i="44"/>
  <c r="M70" i="44"/>
  <c r="M86" i="44"/>
  <c r="M42" i="44"/>
  <c r="M150" i="44"/>
  <c r="M63" i="44"/>
  <c r="M151" i="44"/>
  <c r="M43" i="44"/>
  <c r="M81" i="44"/>
  <c r="M60" i="44"/>
  <c r="M144" i="44"/>
  <c r="M110" i="44"/>
  <c r="M13" i="44"/>
  <c r="M127" i="44"/>
  <c r="M91" i="44"/>
  <c r="M32" i="44"/>
  <c r="M133" i="44"/>
  <c r="M50" i="44"/>
  <c r="M99" i="44"/>
  <c r="M111" i="44"/>
  <c r="Q162" i="29"/>
  <c r="Q14" i="29"/>
  <c r="Q140" i="29"/>
  <c r="Q150" i="29"/>
  <c r="Q118" i="29"/>
  <c r="Q117" i="29"/>
  <c r="Q90" i="29"/>
  <c r="Q113" i="29"/>
  <c r="Q137" i="29"/>
  <c r="Q120" i="29"/>
  <c r="Q147" i="29"/>
  <c r="Q64" i="29"/>
  <c r="Q163" i="29"/>
  <c r="Q94" i="29"/>
  <c r="Q68" i="29"/>
  <c r="Q10" i="29"/>
  <c r="Q139" i="29"/>
  <c r="Q42" i="29"/>
  <c r="Q46" i="29"/>
  <c r="Q80" i="29"/>
  <c r="Q28" i="29"/>
  <c r="Q55" i="29"/>
  <c r="Q124" i="29"/>
  <c r="Q119" i="29"/>
  <c r="Q84" i="29"/>
  <c r="Q32" i="29"/>
  <c r="Q132" i="29"/>
  <c r="Q45" i="29"/>
  <c r="Q71" i="29"/>
  <c r="Q61" i="29"/>
  <c r="Q30" i="29"/>
  <c r="Q157" i="29"/>
  <c r="Q50" i="29"/>
  <c r="Q18" i="29"/>
  <c r="Q23" i="29"/>
  <c r="Q104" i="29"/>
  <c r="Q38" i="29"/>
  <c r="Q57" i="29"/>
  <c r="Q164" i="29"/>
  <c r="Q121" i="29"/>
  <c r="Q171" i="29"/>
  <c r="Q123" i="29"/>
  <c r="Q82" i="29"/>
  <c r="Q85" i="29"/>
  <c r="Q96" i="29"/>
  <c r="Q154" i="29"/>
  <c r="Q29" i="29"/>
  <c r="Q102" i="29"/>
  <c r="Q111" i="29"/>
  <c r="Q128" i="29"/>
  <c r="Q25" i="29"/>
  <c r="Q169" i="29"/>
  <c r="Q173" i="29"/>
  <c r="Q103" i="29"/>
  <c r="Q67" i="29"/>
  <c r="Q41" i="29"/>
  <c r="Q37" i="29"/>
  <c r="Q143" i="29"/>
  <c r="Q13" i="29"/>
  <c r="Q115" i="29"/>
  <c r="Q62" i="29"/>
  <c r="Q73" i="29"/>
  <c r="Q108" i="29"/>
  <c r="Q70" i="29"/>
  <c r="Q27" i="29"/>
  <c r="Q136" i="29"/>
  <c r="Q31" i="29"/>
  <c r="Q54" i="29"/>
  <c r="Q135" i="29"/>
  <c r="Q98" i="29"/>
  <c r="Q114" i="29"/>
  <c r="Q165" i="29"/>
  <c r="Q93" i="29"/>
  <c r="Q160" i="29"/>
  <c r="Q86" i="29"/>
  <c r="Q159" i="29"/>
  <c r="Q40" i="29"/>
  <c r="Q79" i="29"/>
  <c r="Q122" i="29"/>
  <c r="Q155" i="29"/>
  <c r="Q26" i="29"/>
  <c r="Q52" i="29"/>
  <c r="Q78" i="29"/>
  <c r="Q59" i="29"/>
  <c r="Q33" i="29"/>
  <c r="Q63" i="29"/>
  <c r="Q112" i="29"/>
  <c r="Q142" i="29"/>
  <c r="Q34" i="29"/>
  <c r="Q126" i="29"/>
  <c r="Q146" i="29"/>
  <c r="Q127" i="29"/>
  <c r="Q51" i="29"/>
  <c r="Q66" i="29"/>
  <c r="Q105" i="29"/>
  <c r="Q148" i="29"/>
  <c r="Q76" i="29"/>
  <c r="Q97" i="29"/>
  <c r="Q95" i="29"/>
  <c r="Q60" i="29"/>
  <c r="Q49" i="29"/>
  <c r="Q72" i="29"/>
  <c r="Q130" i="29"/>
  <c r="Q89" i="29"/>
  <c r="Q58" i="29"/>
  <c r="Q100" i="29"/>
  <c r="Q166" i="29"/>
  <c r="Q158" i="29"/>
  <c r="Q48" i="29"/>
  <c r="Q92" i="29"/>
  <c r="Q17" i="29"/>
  <c r="Q153" i="29"/>
  <c r="Q81" i="29"/>
  <c r="Q131" i="29"/>
  <c r="R7" i="29"/>
  <c r="Q20" i="29"/>
  <c r="Q99" i="29"/>
  <c r="Q56" i="29"/>
  <c r="Q53" i="29"/>
  <c r="Q77" i="29"/>
  <c r="Q83" i="29"/>
  <c r="Q134" i="29"/>
  <c r="Q184" i="29"/>
  <c r="Q47" i="29"/>
  <c r="Q133" i="29"/>
  <c r="Q36" i="29"/>
  <c r="Q91" i="29"/>
  <c r="Q44" i="29"/>
  <c r="Q19" i="29"/>
  <c r="Q109" i="29"/>
  <c r="Q129" i="29"/>
  <c r="Q15" i="29"/>
  <c r="Q138" i="29"/>
  <c r="Q110" i="29"/>
  <c r="Q168" i="29"/>
  <c r="Q9" i="29"/>
  <c r="Q21" i="29"/>
  <c r="Q24" i="29"/>
  <c r="Q43" i="29"/>
  <c r="Q144" i="29"/>
  <c r="Q101" i="29"/>
  <c r="Q161" i="29"/>
  <c r="Q176" i="29"/>
  <c r="Q39" i="29"/>
  <c r="Q35" i="29"/>
  <c r="Q145" i="29"/>
  <c r="Q11" i="29"/>
  <c r="Q149" i="29"/>
  <c r="Q75" i="29"/>
  <c r="Q74" i="29"/>
  <c r="Q88" i="29"/>
  <c r="Q152" i="29"/>
  <c r="Q167" i="29"/>
  <c r="Q107" i="29"/>
  <c r="Q175" i="29"/>
  <c r="Q106" i="29"/>
  <c r="Q12" i="29"/>
  <c r="Q125" i="29"/>
  <c r="Q174" i="29"/>
  <c r="Q22" i="29"/>
  <c r="Q151" i="29"/>
  <c r="Q156" i="29"/>
  <c r="Q172" i="29"/>
  <c r="Q116" i="29"/>
  <c r="Q87" i="29"/>
  <c r="Q16" i="29"/>
  <c r="Q69" i="29"/>
  <c r="Q65" i="29"/>
  <c r="Q170" i="29"/>
  <c r="Q141" i="29"/>
  <c r="O9" i="28"/>
  <c r="J178" i="29"/>
  <c r="P9" i="28" l="1"/>
  <c r="Q177" i="29"/>
  <c r="O16" i="28" s="1"/>
  <c r="R103" i="29"/>
  <c r="R21" i="29"/>
  <c r="R69" i="29"/>
  <c r="R160" i="29"/>
  <c r="R144" i="29"/>
  <c r="R170" i="29"/>
  <c r="R87" i="29"/>
  <c r="R152" i="29"/>
  <c r="R34" i="29"/>
  <c r="R48" i="29"/>
  <c r="R172" i="29"/>
  <c r="R106" i="29"/>
  <c r="R162" i="29"/>
  <c r="R98" i="29"/>
  <c r="R159" i="29"/>
  <c r="R45" i="29"/>
  <c r="R96" i="29"/>
  <c r="R139" i="29"/>
  <c r="R149" i="29"/>
  <c r="R33" i="29"/>
  <c r="R173" i="29"/>
  <c r="R111" i="29"/>
  <c r="R73" i="29"/>
  <c r="R108" i="29"/>
  <c r="R39" i="29"/>
  <c r="R74" i="29"/>
  <c r="R148" i="29"/>
  <c r="R42" i="29"/>
  <c r="R158" i="29"/>
  <c r="R133" i="29"/>
  <c r="R167" i="29"/>
  <c r="R53" i="29"/>
  <c r="R97" i="29"/>
  <c r="R54" i="29"/>
  <c r="R129" i="29"/>
  <c r="R123" i="29"/>
  <c r="R147" i="29"/>
  <c r="R114" i="29"/>
  <c r="R131" i="29"/>
  <c r="R66" i="29"/>
  <c r="R71" i="29"/>
  <c r="R23" i="29"/>
  <c r="R85" i="29"/>
  <c r="R124" i="29"/>
  <c r="R9" i="29"/>
  <c r="R30" i="29"/>
  <c r="R38" i="29"/>
  <c r="R20" i="29"/>
  <c r="R134" i="29"/>
  <c r="R150" i="29"/>
  <c r="R82" i="29"/>
  <c r="R132" i="29"/>
  <c r="R95" i="29"/>
  <c r="R115" i="29"/>
  <c r="R99" i="29"/>
  <c r="R176" i="29"/>
  <c r="R57" i="29"/>
  <c r="R110" i="29"/>
  <c r="R89" i="29"/>
  <c r="R94" i="29"/>
  <c r="R81" i="29"/>
  <c r="R78" i="29"/>
  <c r="R151" i="29"/>
  <c r="R125" i="29"/>
  <c r="R59" i="29"/>
  <c r="R92" i="29"/>
  <c r="R175" i="29"/>
  <c r="R60" i="29"/>
  <c r="R64" i="29"/>
  <c r="R121" i="29"/>
  <c r="R43" i="29"/>
  <c r="R165" i="29"/>
  <c r="R140" i="29"/>
  <c r="R135" i="29"/>
  <c r="R143" i="29"/>
  <c r="R164" i="29"/>
  <c r="R31" i="29"/>
  <c r="R46" i="29"/>
  <c r="R51" i="29"/>
  <c r="R36" i="29"/>
  <c r="R10" i="29"/>
  <c r="R100" i="29"/>
  <c r="R65" i="29"/>
  <c r="R41" i="29"/>
  <c r="R68" i="29"/>
  <c r="R184" i="29"/>
  <c r="R157" i="29"/>
  <c r="R101" i="29"/>
  <c r="R86" i="29"/>
  <c r="R127" i="29"/>
  <c r="R109" i="29"/>
  <c r="R104" i="29"/>
  <c r="R32" i="29"/>
  <c r="R18" i="29"/>
  <c r="R138" i="29"/>
  <c r="R168" i="29"/>
  <c r="R76" i="29"/>
  <c r="R88" i="29"/>
  <c r="R126" i="29"/>
  <c r="R28" i="29"/>
  <c r="R84" i="29"/>
  <c r="R120" i="29"/>
  <c r="R91" i="29"/>
  <c r="R83" i="29"/>
  <c r="R62" i="29"/>
  <c r="R153" i="29"/>
  <c r="R29" i="29"/>
  <c r="R141" i="29"/>
  <c r="R55" i="29"/>
  <c r="R145" i="29"/>
  <c r="R136" i="29"/>
  <c r="R15" i="29"/>
  <c r="R113" i="29"/>
  <c r="R56" i="29"/>
  <c r="R137" i="29"/>
  <c r="R77" i="29"/>
  <c r="R169" i="29"/>
  <c r="R163" i="29"/>
  <c r="R16" i="29"/>
  <c r="R19" i="29"/>
  <c r="R25" i="29"/>
  <c r="R105" i="29"/>
  <c r="R80" i="29"/>
  <c r="R11" i="29"/>
  <c r="R72" i="29"/>
  <c r="R142" i="29"/>
  <c r="R156" i="29"/>
  <c r="R27" i="29"/>
  <c r="R166" i="29"/>
  <c r="R119" i="29"/>
  <c r="R67" i="29"/>
  <c r="R63" i="29"/>
  <c r="R171" i="29"/>
  <c r="R58" i="29"/>
  <c r="R116" i="29"/>
  <c r="R154" i="29"/>
  <c r="R40" i="29"/>
  <c r="S7" i="29"/>
  <c r="R174" i="29"/>
  <c r="R70" i="29"/>
  <c r="R102" i="29"/>
  <c r="R13" i="29"/>
  <c r="R14" i="29"/>
  <c r="R93" i="29"/>
  <c r="R118" i="29"/>
  <c r="R161" i="29"/>
  <c r="R47" i="29"/>
  <c r="R50" i="29"/>
  <c r="R52" i="29"/>
  <c r="R155" i="29"/>
  <c r="R107" i="29"/>
  <c r="R26" i="29"/>
  <c r="R61" i="29"/>
  <c r="R128" i="29"/>
  <c r="R79" i="29"/>
  <c r="R12" i="29"/>
  <c r="R112" i="29"/>
  <c r="R130" i="29"/>
  <c r="R49" i="29"/>
  <c r="R17" i="29"/>
  <c r="R90" i="29"/>
  <c r="R44" i="29"/>
  <c r="R146" i="29"/>
  <c r="R37" i="29"/>
  <c r="R22" i="29"/>
  <c r="R117" i="29"/>
  <c r="R75" i="29"/>
  <c r="R35" i="29"/>
  <c r="R122" i="29"/>
  <c r="R24" i="29"/>
  <c r="R9" i="43"/>
  <c r="M153" i="44"/>
  <c r="Q12" i="43" s="1"/>
  <c r="J180" i="29"/>
  <c r="K178" i="29"/>
  <c r="N110" i="44"/>
  <c r="N117" i="44"/>
  <c r="N124" i="44"/>
  <c r="N20" i="44"/>
  <c r="N134" i="44"/>
  <c r="N127" i="44"/>
  <c r="N113" i="44"/>
  <c r="N129" i="44"/>
  <c r="N83" i="44"/>
  <c r="N133" i="44"/>
  <c r="N71" i="44"/>
  <c r="N149" i="44"/>
  <c r="N17" i="44"/>
  <c r="N28" i="44"/>
  <c r="N39" i="44"/>
  <c r="N96" i="44"/>
  <c r="N34" i="44"/>
  <c r="N69" i="44"/>
  <c r="N36" i="44"/>
  <c r="N86" i="44"/>
  <c r="N93" i="44"/>
  <c r="N40" i="44"/>
  <c r="N16" i="44"/>
  <c r="N47" i="44"/>
  <c r="N24" i="44"/>
  <c r="N80" i="44"/>
  <c r="N68" i="44"/>
  <c r="N45" i="44"/>
  <c r="N58" i="44"/>
  <c r="N14" i="44"/>
  <c r="N30" i="44"/>
  <c r="N125" i="44"/>
  <c r="N131" i="44"/>
  <c r="N12" i="44"/>
  <c r="N89" i="44"/>
  <c r="N32" i="44"/>
  <c r="N46" i="44"/>
  <c r="N118" i="44"/>
  <c r="N114" i="44"/>
  <c r="N33" i="44"/>
  <c r="N135" i="44"/>
  <c r="N88" i="44"/>
  <c r="N111" i="44"/>
  <c r="N55" i="44"/>
  <c r="N143" i="44"/>
  <c r="N85" i="44"/>
  <c r="N147" i="44"/>
  <c r="N43" i="44"/>
  <c r="O7" i="44"/>
  <c r="N115" i="44"/>
  <c r="N104" i="44"/>
  <c r="N56" i="44"/>
  <c r="N122" i="44"/>
  <c r="N90" i="44"/>
  <c r="N138" i="44"/>
  <c r="N106" i="44"/>
  <c r="N142" i="44"/>
  <c r="N13" i="44"/>
  <c r="N27" i="44"/>
  <c r="N65" i="44"/>
  <c r="N21" i="44"/>
  <c r="N31" i="44"/>
  <c r="N112" i="44"/>
  <c r="N120" i="44"/>
  <c r="N105" i="44"/>
  <c r="N15" i="44"/>
  <c r="N44" i="44"/>
  <c r="N35" i="44"/>
  <c r="N57" i="44"/>
  <c r="N99" i="44"/>
  <c r="N54" i="44"/>
  <c r="N76" i="44"/>
  <c r="N23" i="44"/>
  <c r="N52" i="44"/>
  <c r="N128" i="44"/>
  <c r="N103" i="44"/>
  <c r="N77" i="44"/>
  <c r="N79" i="44"/>
  <c r="N61" i="44"/>
  <c r="N132" i="44"/>
  <c r="N91" i="44"/>
  <c r="N64" i="44"/>
  <c r="N116" i="44"/>
  <c r="N8" i="44"/>
  <c r="N48" i="44"/>
  <c r="N11" i="44"/>
  <c r="N92" i="44"/>
  <c r="N42" i="44"/>
  <c r="N9" i="44"/>
  <c r="N98" i="44"/>
  <c r="N152" i="44"/>
  <c r="N126" i="44"/>
  <c r="N26" i="44"/>
  <c r="N19" i="44"/>
  <c r="N38" i="44"/>
  <c r="N49" i="44"/>
  <c r="N73" i="44"/>
  <c r="N144" i="44"/>
  <c r="N100" i="44"/>
  <c r="N50" i="44"/>
  <c r="N72" i="44"/>
  <c r="N70" i="44"/>
  <c r="N53" i="44"/>
  <c r="N119" i="44"/>
  <c r="N10" i="44"/>
  <c r="N51" i="44"/>
  <c r="N60" i="44"/>
  <c r="N75" i="44"/>
  <c r="N66" i="44"/>
  <c r="N150" i="44"/>
  <c r="N67" i="44"/>
  <c r="N123" i="44"/>
  <c r="N29" i="44"/>
  <c r="N121" i="44"/>
  <c r="N97" i="44"/>
  <c r="N74" i="44"/>
  <c r="N94" i="44"/>
  <c r="N148" i="44"/>
  <c r="N37" i="44"/>
  <c r="N62" i="44"/>
  <c r="N18" i="44"/>
  <c r="N87" i="44"/>
  <c r="N140" i="44"/>
  <c r="N63" i="44"/>
  <c r="N137" i="44"/>
  <c r="N102" i="44"/>
  <c r="N109" i="44"/>
  <c r="N25" i="44"/>
  <c r="N41" i="44"/>
  <c r="N81" i="44"/>
  <c r="N101" i="44"/>
  <c r="N22" i="44"/>
  <c r="N160" i="44"/>
  <c r="N145" i="44"/>
  <c r="N141" i="44"/>
  <c r="N136" i="44"/>
  <c r="N95" i="44"/>
  <c r="N130" i="44"/>
  <c r="N78" i="44"/>
  <c r="N82" i="44"/>
  <c r="N108" i="44"/>
  <c r="N107" i="44"/>
  <c r="N139" i="44"/>
  <c r="N146" i="44"/>
  <c r="N59" i="44"/>
  <c r="N151" i="44"/>
  <c r="N84" i="44"/>
  <c r="K154" i="44"/>
  <c r="J156" i="44"/>
  <c r="J157" i="44" l="1"/>
  <c r="R10" i="43"/>
  <c r="O103" i="44"/>
  <c r="O34" i="44"/>
  <c r="O57" i="44"/>
  <c r="O19" i="44"/>
  <c r="O21" i="44"/>
  <c r="O75" i="44"/>
  <c r="O9" i="44"/>
  <c r="O105" i="44"/>
  <c r="O123" i="44"/>
  <c r="O37" i="44"/>
  <c r="O122" i="44"/>
  <c r="O24" i="44"/>
  <c r="O102" i="44"/>
  <c r="O141" i="44"/>
  <c r="O69" i="44"/>
  <c r="O145" i="44"/>
  <c r="O146" i="44"/>
  <c r="O66" i="44"/>
  <c r="O138" i="44"/>
  <c r="O113" i="44"/>
  <c r="O15" i="44"/>
  <c r="O39" i="44"/>
  <c r="O51" i="44"/>
  <c r="O119" i="44"/>
  <c r="O85" i="44"/>
  <c r="O82" i="44"/>
  <c r="O41" i="44"/>
  <c r="O86" i="44"/>
  <c r="O128" i="44"/>
  <c r="O47" i="44"/>
  <c r="O83" i="44"/>
  <c r="O95" i="44"/>
  <c r="O22" i="44"/>
  <c r="O107" i="44"/>
  <c r="O109" i="44"/>
  <c r="O73" i="44"/>
  <c r="O112" i="44"/>
  <c r="O89" i="44"/>
  <c r="O36" i="44"/>
  <c r="O121" i="44"/>
  <c r="O76" i="44"/>
  <c r="O29" i="44"/>
  <c r="O14" i="44"/>
  <c r="O70" i="44"/>
  <c r="O61" i="44"/>
  <c r="O60" i="44"/>
  <c r="O56" i="44"/>
  <c r="O31" i="44"/>
  <c r="O118" i="44"/>
  <c r="O116" i="44"/>
  <c r="O78" i="44"/>
  <c r="O98" i="44"/>
  <c r="O42" i="44"/>
  <c r="O91" i="44"/>
  <c r="O64" i="44"/>
  <c r="O125" i="44"/>
  <c r="O97" i="44"/>
  <c r="O20" i="44"/>
  <c r="O32" i="44"/>
  <c r="O8" i="44"/>
  <c r="O63" i="44"/>
  <c r="O101" i="44"/>
  <c r="O27" i="44"/>
  <c r="O88" i="44"/>
  <c r="O130" i="44"/>
  <c r="O44" i="44"/>
  <c r="O115" i="44"/>
  <c r="O93" i="44"/>
  <c r="O18" i="44"/>
  <c r="O65" i="44"/>
  <c r="O149" i="44"/>
  <c r="O148" i="44"/>
  <c r="O151" i="44"/>
  <c r="O110" i="44"/>
  <c r="O77" i="44"/>
  <c r="O140" i="44"/>
  <c r="O35" i="44"/>
  <c r="O87" i="44"/>
  <c r="O99" i="44"/>
  <c r="O50" i="44"/>
  <c r="O79" i="44"/>
  <c r="O17" i="44"/>
  <c r="O10" i="44"/>
  <c r="O147" i="44"/>
  <c r="O139" i="44"/>
  <c r="O55" i="44"/>
  <c r="O96" i="44"/>
  <c r="O80" i="44"/>
  <c r="O13" i="44"/>
  <c r="O33" i="44"/>
  <c r="O100" i="44"/>
  <c r="O72" i="44"/>
  <c r="O74" i="44"/>
  <c r="O129" i="44"/>
  <c r="O136" i="44"/>
  <c r="O81" i="44"/>
  <c r="O58" i="44"/>
  <c r="O30" i="44"/>
  <c r="O137" i="44"/>
  <c r="O28" i="44"/>
  <c r="O111" i="44"/>
  <c r="O108" i="44"/>
  <c r="O84" i="44"/>
  <c r="O59" i="44"/>
  <c r="O143" i="44"/>
  <c r="O90" i="44"/>
  <c r="O26" i="44"/>
  <c r="O117" i="44"/>
  <c r="O133" i="44"/>
  <c r="O132" i="44"/>
  <c r="O92" i="44"/>
  <c r="O16" i="44"/>
  <c r="O53" i="44"/>
  <c r="O67" i="44"/>
  <c r="O150" i="44"/>
  <c r="O160" i="44"/>
  <c r="O135" i="44"/>
  <c r="O52" i="44"/>
  <c r="O144" i="44"/>
  <c r="O23" i="44"/>
  <c r="O12" i="44"/>
  <c r="O62" i="44"/>
  <c r="O40" i="44"/>
  <c r="O120" i="44"/>
  <c r="O152" i="44"/>
  <c r="O134" i="44"/>
  <c r="O48" i="44"/>
  <c r="O46" i="44"/>
  <c r="O45" i="44"/>
  <c r="O127" i="44"/>
  <c r="O25" i="44"/>
  <c r="O11" i="44"/>
  <c r="P7" i="44"/>
  <c r="O43" i="44"/>
  <c r="O68" i="44"/>
  <c r="O38" i="44"/>
  <c r="O126" i="44"/>
  <c r="O114" i="44"/>
  <c r="O142" i="44"/>
  <c r="O94" i="44"/>
  <c r="O104" i="44"/>
  <c r="O71" i="44"/>
  <c r="O106" i="44"/>
  <c r="O54" i="44"/>
  <c r="O124" i="44"/>
  <c r="O49" i="44"/>
  <c r="O131" i="44"/>
  <c r="N153" i="44"/>
  <c r="Q13" i="43" s="1"/>
  <c r="S157" i="29"/>
  <c r="S142" i="29"/>
  <c r="S173" i="29"/>
  <c r="S125" i="29"/>
  <c r="S22" i="29"/>
  <c r="S119" i="29"/>
  <c r="S105" i="29"/>
  <c r="S141" i="29"/>
  <c r="S21" i="29"/>
  <c r="S64" i="29"/>
  <c r="S113" i="29"/>
  <c r="S90" i="29"/>
  <c r="S14" i="29"/>
  <c r="S106" i="29"/>
  <c r="S150" i="29"/>
  <c r="S145" i="29"/>
  <c r="S9" i="29"/>
  <c r="S117" i="29"/>
  <c r="S50" i="29"/>
  <c r="S41" i="29"/>
  <c r="S60" i="29"/>
  <c r="S147" i="29"/>
  <c r="S87" i="29"/>
  <c r="S44" i="29"/>
  <c r="S121" i="29"/>
  <c r="S73" i="29"/>
  <c r="S42" i="29"/>
  <c r="S71" i="29"/>
  <c r="S98" i="29"/>
  <c r="S136" i="29"/>
  <c r="S165" i="29"/>
  <c r="S92" i="29"/>
  <c r="S126" i="29"/>
  <c r="S138" i="29"/>
  <c r="S184" i="29"/>
  <c r="S80" i="29"/>
  <c r="S49" i="29"/>
  <c r="S62" i="29"/>
  <c r="S166" i="29"/>
  <c r="S48" i="29"/>
  <c r="S156" i="29"/>
  <c r="S110" i="29"/>
  <c r="S146" i="29"/>
  <c r="S127" i="29"/>
  <c r="S171" i="29"/>
  <c r="T7" i="29"/>
  <c r="S109" i="29"/>
  <c r="S101" i="29"/>
  <c r="S155" i="29"/>
  <c r="S96" i="29"/>
  <c r="S13" i="29"/>
  <c r="S15" i="29"/>
  <c r="S103" i="29"/>
  <c r="S47" i="29"/>
  <c r="S52" i="29"/>
  <c r="S153" i="29"/>
  <c r="S33" i="29"/>
  <c r="S114" i="29"/>
  <c r="S25" i="29"/>
  <c r="S82" i="29"/>
  <c r="S75" i="29"/>
  <c r="S54" i="29"/>
  <c r="S67" i="29"/>
  <c r="S51" i="29"/>
  <c r="S160" i="29"/>
  <c r="S120" i="29"/>
  <c r="S17" i="29"/>
  <c r="S88" i="29"/>
  <c r="S35" i="29"/>
  <c r="S104" i="29"/>
  <c r="S97" i="29"/>
  <c r="S28" i="29"/>
  <c r="S144" i="29"/>
  <c r="S116" i="29"/>
  <c r="S149" i="29"/>
  <c r="S123" i="29"/>
  <c r="S76" i="29"/>
  <c r="S78" i="29"/>
  <c r="S93" i="29"/>
  <c r="S161" i="29"/>
  <c r="S112" i="29"/>
  <c r="S176" i="29"/>
  <c r="S34" i="29"/>
  <c r="S89" i="29"/>
  <c r="S56" i="29"/>
  <c r="S16" i="29"/>
  <c r="S81" i="29"/>
  <c r="S130" i="29"/>
  <c r="S131" i="29"/>
  <c r="S137" i="29"/>
  <c r="S69" i="29"/>
  <c r="S77" i="29"/>
  <c r="S159" i="29"/>
  <c r="S30" i="29"/>
  <c r="S55" i="29"/>
  <c r="S72" i="29"/>
  <c r="S175" i="29"/>
  <c r="S139" i="29"/>
  <c r="S53" i="29"/>
  <c r="S167" i="29"/>
  <c r="S63" i="29"/>
  <c r="S158" i="29"/>
  <c r="S107" i="29"/>
  <c r="S85" i="29"/>
  <c r="S134" i="29"/>
  <c r="S29" i="29"/>
  <c r="S58" i="29"/>
  <c r="S40" i="29"/>
  <c r="S84" i="29"/>
  <c r="S37" i="29"/>
  <c r="S66" i="29"/>
  <c r="S24" i="29"/>
  <c r="S36" i="29"/>
  <c r="S61" i="29"/>
  <c r="S129" i="29"/>
  <c r="S46" i="29"/>
  <c r="S154" i="29"/>
  <c r="S12" i="29"/>
  <c r="S74" i="29"/>
  <c r="S38" i="29"/>
  <c r="S152" i="29"/>
  <c r="S95" i="29"/>
  <c r="S163" i="29"/>
  <c r="S65" i="29"/>
  <c r="S83" i="29"/>
  <c r="S162" i="29"/>
  <c r="S26" i="29"/>
  <c r="S128" i="29"/>
  <c r="S19" i="29"/>
  <c r="S57" i="29"/>
  <c r="S140" i="29"/>
  <c r="S148" i="29"/>
  <c r="S99" i="29"/>
  <c r="S124" i="29"/>
  <c r="S118" i="29"/>
  <c r="S11" i="29"/>
  <c r="S39" i="29"/>
  <c r="S23" i="29"/>
  <c r="S59" i="29"/>
  <c r="S102" i="29"/>
  <c r="S68" i="29"/>
  <c r="S164" i="29"/>
  <c r="S94" i="29"/>
  <c r="S91" i="29"/>
  <c r="S27" i="29"/>
  <c r="S143" i="29"/>
  <c r="S111" i="29"/>
  <c r="S20" i="29"/>
  <c r="S86" i="29"/>
  <c r="S10" i="29"/>
  <c r="S45" i="29"/>
  <c r="S70" i="29"/>
  <c r="S18" i="29"/>
  <c r="S79" i="29"/>
  <c r="S151" i="29"/>
  <c r="S170" i="29"/>
  <c r="S135" i="29"/>
  <c r="S32" i="29"/>
  <c r="S115" i="29"/>
  <c r="S108" i="29"/>
  <c r="S168" i="29"/>
  <c r="S43" i="29"/>
  <c r="S31" i="29"/>
  <c r="S122" i="29"/>
  <c r="S133" i="29"/>
  <c r="S132" i="29"/>
  <c r="S169" i="29"/>
  <c r="S172" i="29"/>
  <c r="S100" i="29"/>
  <c r="S174" i="29"/>
  <c r="K156" i="44"/>
  <c r="L154" i="44"/>
  <c r="R177" i="29"/>
  <c r="O17" i="28" s="1"/>
  <c r="L178" i="29"/>
  <c r="K180" i="29"/>
  <c r="J181" i="29"/>
  <c r="P10" i="28"/>
  <c r="T138" i="29" l="1"/>
  <c r="T46" i="29"/>
  <c r="T51" i="29"/>
  <c r="T12" i="29"/>
  <c r="T169" i="29"/>
  <c r="T103" i="29"/>
  <c r="T160" i="29"/>
  <c r="T121" i="29"/>
  <c r="T165" i="29"/>
  <c r="T50" i="29"/>
  <c r="T66" i="29"/>
  <c r="T131" i="29"/>
  <c r="T168" i="29"/>
  <c r="T156" i="29"/>
  <c r="T55" i="29"/>
  <c r="T45" i="29"/>
  <c r="T27" i="29"/>
  <c r="T24" i="29"/>
  <c r="T124" i="29"/>
  <c r="T25" i="29"/>
  <c r="T38" i="29"/>
  <c r="T15" i="29"/>
  <c r="T61" i="29"/>
  <c r="T35" i="29"/>
  <c r="T141" i="29"/>
  <c r="T40" i="29"/>
  <c r="T53" i="29"/>
  <c r="T28" i="29"/>
  <c r="T151" i="29"/>
  <c r="T158" i="29"/>
  <c r="T171" i="29"/>
  <c r="T44" i="29"/>
  <c r="T26" i="29"/>
  <c r="T129" i="29"/>
  <c r="T22" i="29"/>
  <c r="T174" i="29"/>
  <c r="T79" i="29"/>
  <c r="T135" i="29"/>
  <c r="T114" i="29"/>
  <c r="T154" i="29"/>
  <c r="T143" i="29"/>
  <c r="T110" i="29"/>
  <c r="T77" i="29"/>
  <c r="T73" i="29"/>
  <c r="T159" i="29"/>
  <c r="T29" i="29"/>
  <c r="T109" i="29"/>
  <c r="T64" i="29"/>
  <c r="T173" i="29"/>
  <c r="T98" i="29"/>
  <c r="T76" i="29"/>
  <c r="T172" i="29"/>
  <c r="T37" i="29"/>
  <c r="T54" i="29"/>
  <c r="T31" i="29"/>
  <c r="T142" i="29"/>
  <c r="T149" i="29"/>
  <c r="T136" i="29"/>
  <c r="T107" i="29"/>
  <c r="T57" i="29"/>
  <c r="T78" i="29"/>
  <c r="T58" i="29"/>
  <c r="T17" i="29"/>
  <c r="T90" i="29"/>
  <c r="T87" i="29"/>
  <c r="T108" i="29"/>
  <c r="T20" i="29"/>
  <c r="T117" i="29"/>
  <c r="T128" i="29"/>
  <c r="T112" i="29"/>
  <c r="T155" i="29"/>
  <c r="T43" i="29"/>
  <c r="T94" i="29"/>
  <c r="T101" i="29"/>
  <c r="T84" i="29"/>
  <c r="T113" i="29"/>
  <c r="T32" i="29"/>
  <c r="T137" i="29"/>
  <c r="T72" i="29"/>
  <c r="T16" i="29"/>
  <c r="T81" i="29"/>
  <c r="T42" i="29"/>
  <c r="T93" i="29"/>
  <c r="T119" i="29"/>
  <c r="U7" i="29"/>
  <c r="T85" i="29"/>
  <c r="T118" i="29"/>
  <c r="T153" i="29"/>
  <c r="T157" i="29"/>
  <c r="T92" i="29"/>
  <c r="T86" i="29"/>
  <c r="T49" i="29"/>
  <c r="T63" i="29"/>
  <c r="T18" i="29"/>
  <c r="T146" i="29"/>
  <c r="T122" i="29"/>
  <c r="T184" i="29"/>
  <c r="T36" i="29"/>
  <c r="T104" i="29"/>
  <c r="T126" i="29"/>
  <c r="T175" i="29"/>
  <c r="T70" i="29"/>
  <c r="T133" i="29"/>
  <c r="T74" i="29"/>
  <c r="T83" i="29"/>
  <c r="T163" i="29"/>
  <c r="T47" i="29"/>
  <c r="T161" i="29"/>
  <c r="T115" i="29"/>
  <c r="T33" i="29"/>
  <c r="T91" i="29"/>
  <c r="T48" i="29"/>
  <c r="T139" i="29"/>
  <c r="T144" i="29"/>
  <c r="T125" i="29"/>
  <c r="T96" i="29"/>
  <c r="T82" i="29"/>
  <c r="T147" i="29"/>
  <c r="T167" i="29"/>
  <c r="T145" i="29"/>
  <c r="T75" i="29"/>
  <c r="T106" i="29"/>
  <c r="T176" i="29"/>
  <c r="T140" i="29"/>
  <c r="T34" i="29"/>
  <c r="T62" i="29"/>
  <c r="T150" i="29"/>
  <c r="T132" i="29"/>
  <c r="T123" i="29"/>
  <c r="T127" i="29"/>
  <c r="T68" i="29"/>
  <c r="T164" i="29"/>
  <c r="T148" i="29"/>
  <c r="T71" i="29"/>
  <c r="T41" i="29"/>
  <c r="T116" i="29"/>
  <c r="T19" i="29"/>
  <c r="T69" i="29"/>
  <c r="T162" i="29"/>
  <c r="T102" i="29"/>
  <c r="T100" i="29"/>
  <c r="T14" i="29"/>
  <c r="T80" i="29"/>
  <c r="T52" i="29"/>
  <c r="T30" i="29"/>
  <c r="T152" i="29"/>
  <c r="T9" i="29"/>
  <c r="T39" i="29"/>
  <c r="T21" i="29"/>
  <c r="T13" i="29"/>
  <c r="T11" i="29"/>
  <c r="T166" i="29"/>
  <c r="T111" i="29"/>
  <c r="T99" i="29"/>
  <c r="T60" i="29"/>
  <c r="T97" i="29"/>
  <c r="T170" i="29"/>
  <c r="T89" i="29"/>
  <c r="T95" i="29"/>
  <c r="T134" i="29"/>
  <c r="T59" i="29"/>
  <c r="T130" i="29"/>
  <c r="T105" i="29"/>
  <c r="T67" i="29"/>
  <c r="T65" i="29"/>
  <c r="T120" i="29"/>
  <c r="T88" i="29"/>
  <c r="T56" i="29"/>
  <c r="T23" i="29"/>
  <c r="T10" i="29"/>
  <c r="J158" i="44"/>
  <c r="J159" i="44"/>
  <c r="J182" i="29"/>
  <c r="J183" i="29"/>
  <c r="L156" i="44"/>
  <c r="M154" i="44"/>
  <c r="S177" i="29"/>
  <c r="O18" i="28" s="1"/>
  <c r="P43" i="44"/>
  <c r="Q7" i="44"/>
  <c r="P133" i="44"/>
  <c r="P15" i="44"/>
  <c r="P160" i="44"/>
  <c r="P31" i="44"/>
  <c r="P73" i="44"/>
  <c r="P58" i="44"/>
  <c r="P99" i="44"/>
  <c r="P21" i="44"/>
  <c r="P22" i="44"/>
  <c r="P69" i="44"/>
  <c r="P41" i="44"/>
  <c r="P45" i="44"/>
  <c r="P104" i="44"/>
  <c r="P80" i="44"/>
  <c r="P44" i="44"/>
  <c r="P105" i="44"/>
  <c r="P89" i="44"/>
  <c r="P13" i="44"/>
  <c r="P137" i="44"/>
  <c r="P71" i="44"/>
  <c r="P56" i="44"/>
  <c r="P46" i="44"/>
  <c r="P97" i="44"/>
  <c r="P35" i="44"/>
  <c r="P148" i="44"/>
  <c r="P10" i="44"/>
  <c r="P130" i="44"/>
  <c r="P9" i="44"/>
  <c r="P98" i="44"/>
  <c r="P33" i="44"/>
  <c r="P83" i="44"/>
  <c r="P120" i="44"/>
  <c r="P63" i="44"/>
  <c r="P140" i="44"/>
  <c r="P59" i="44"/>
  <c r="P11" i="44"/>
  <c r="P115" i="44"/>
  <c r="P30" i="44"/>
  <c r="P72" i="44"/>
  <c r="P14" i="44"/>
  <c r="P49" i="44"/>
  <c r="P136" i="44"/>
  <c r="P116" i="44"/>
  <c r="P62" i="44"/>
  <c r="P112" i="44"/>
  <c r="P109" i="44"/>
  <c r="P93" i="44"/>
  <c r="P131" i="44"/>
  <c r="P24" i="44"/>
  <c r="P47" i="44"/>
  <c r="P128" i="44"/>
  <c r="P122" i="44"/>
  <c r="P125" i="44"/>
  <c r="P152" i="44"/>
  <c r="P18" i="44"/>
  <c r="P134" i="44"/>
  <c r="P102" i="44"/>
  <c r="P55" i="44"/>
  <c r="P88" i="44"/>
  <c r="P28" i="44"/>
  <c r="P25" i="44"/>
  <c r="P124" i="44"/>
  <c r="P143" i="44"/>
  <c r="P77" i="44"/>
  <c r="P150" i="44"/>
  <c r="P100" i="44"/>
  <c r="P101" i="44"/>
  <c r="P79" i="44"/>
  <c r="P65" i="44"/>
  <c r="P57" i="44"/>
  <c r="P106" i="44"/>
  <c r="P138" i="44"/>
  <c r="P75" i="44"/>
  <c r="P27" i="44"/>
  <c r="P81" i="44"/>
  <c r="P70" i="44"/>
  <c r="P52" i="44"/>
  <c r="P147" i="44"/>
  <c r="P126" i="44"/>
  <c r="P26" i="44"/>
  <c r="P127" i="44"/>
  <c r="P123" i="44"/>
  <c r="P86" i="44"/>
  <c r="P149" i="44"/>
  <c r="P151" i="44"/>
  <c r="P118" i="44"/>
  <c r="P87" i="44"/>
  <c r="P37" i="44"/>
  <c r="P92" i="44"/>
  <c r="P17" i="44"/>
  <c r="P95" i="44"/>
  <c r="P76" i="44"/>
  <c r="P108" i="44"/>
  <c r="P82" i="44"/>
  <c r="P8" i="44"/>
  <c r="P103" i="44"/>
  <c r="P67" i="44"/>
  <c r="P84" i="44"/>
  <c r="P16" i="44"/>
  <c r="P107" i="44"/>
  <c r="P74" i="44"/>
  <c r="P78" i="44"/>
  <c r="P39" i="44"/>
  <c r="P90" i="44"/>
  <c r="P40" i="44"/>
  <c r="P32" i="44"/>
  <c r="P23" i="44"/>
  <c r="P85" i="44"/>
  <c r="P60" i="44"/>
  <c r="P142" i="44"/>
  <c r="P53" i="44"/>
  <c r="P144" i="44"/>
  <c r="P141" i="44"/>
  <c r="P110" i="44"/>
  <c r="P132" i="44"/>
  <c r="P34" i="44"/>
  <c r="P29" i="44"/>
  <c r="P94" i="44"/>
  <c r="P54" i="44"/>
  <c r="P113" i="44"/>
  <c r="P68" i="44"/>
  <c r="P36" i="44"/>
  <c r="P20" i="44"/>
  <c r="P129" i="44"/>
  <c r="P48" i="44"/>
  <c r="P135" i="44"/>
  <c r="P50" i="44"/>
  <c r="P96" i="44"/>
  <c r="P66" i="44"/>
  <c r="P145" i="44"/>
  <c r="P12" i="44"/>
  <c r="P64" i="44"/>
  <c r="P121" i="44"/>
  <c r="P51" i="44"/>
  <c r="P117" i="44"/>
  <c r="P19" i="44"/>
  <c r="P61" i="44"/>
  <c r="P42" i="44"/>
  <c r="P119" i="44"/>
  <c r="P114" i="44"/>
  <c r="P111" i="44"/>
  <c r="P91" i="44"/>
  <c r="P38" i="44"/>
  <c r="P139" i="44"/>
  <c r="P146" i="44"/>
  <c r="O153" i="44"/>
  <c r="Q14" i="43" s="1"/>
  <c r="M178" i="29"/>
  <c r="L180" i="29"/>
  <c r="K181" i="29"/>
  <c r="P11" i="28"/>
  <c r="K157" i="44"/>
  <c r="R11" i="43"/>
  <c r="Q31" i="44" l="1"/>
  <c r="Q101" i="44"/>
  <c r="Q85" i="44"/>
  <c r="Q61" i="44"/>
  <c r="Q108" i="44"/>
  <c r="Q142" i="44"/>
  <c r="Q90" i="44"/>
  <c r="Q46" i="44"/>
  <c r="Q69" i="44"/>
  <c r="Q95" i="44"/>
  <c r="Q91" i="44"/>
  <c r="Q25" i="44"/>
  <c r="Q86" i="44"/>
  <c r="Q94" i="44"/>
  <c r="Q64" i="44"/>
  <c r="Q145" i="44"/>
  <c r="Q132" i="44"/>
  <c r="Q75" i="44"/>
  <c r="Q13" i="44"/>
  <c r="Q152" i="44"/>
  <c r="Q9" i="44"/>
  <c r="Q20" i="44"/>
  <c r="Q140" i="44"/>
  <c r="Q68" i="44"/>
  <c r="Q32" i="44"/>
  <c r="Q133" i="44"/>
  <c r="Q8" i="44"/>
  <c r="Q113" i="44"/>
  <c r="Q89" i="44"/>
  <c r="Q49" i="44"/>
  <c r="Q100" i="44"/>
  <c r="Q130" i="44"/>
  <c r="Q78" i="44"/>
  <c r="Q110" i="44"/>
  <c r="Q24" i="44"/>
  <c r="Q112" i="44"/>
  <c r="Q40" i="44"/>
  <c r="Q15" i="44"/>
  <c r="Q131" i="44"/>
  <c r="Q44" i="44"/>
  <c r="Q92" i="44"/>
  <c r="Q123" i="44"/>
  <c r="Q121" i="44"/>
  <c r="Q73" i="44"/>
  <c r="Q96" i="44"/>
  <c r="Q54" i="44"/>
  <c r="Q11" i="44"/>
  <c r="Q98" i="44"/>
  <c r="Q109" i="44"/>
  <c r="Q18" i="44"/>
  <c r="Q143" i="44"/>
  <c r="Q67" i="44"/>
  <c r="Q104" i="44"/>
  <c r="Q149" i="44"/>
  <c r="Q84" i="44"/>
  <c r="Q99" i="44"/>
  <c r="Q79" i="44"/>
  <c r="Q57" i="44"/>
  <c r="Q71" i="44"/>
  <c r="Q28" i="44"/>
  <c r="Q146" i="44"/>
  <c r="Q65" i="44"/>
  <c r="Q53" i="44"/>
  <c r="Q35" i="44"/>
  <c r="Q29" i="44"/>
  <c r="Q97" i="44"/>
  <c r="Q111" i="44"/>
  <c r="Q26" i="44"/>
  <c r="Q136" i="44"/>
  <c r="Q125" i="44"/>
  <c r="Q56" i="44"/>
  <c r="Q137" i="44"/>
  <c r="Q114" i="44"/>
  <c r="Q74" i="44"/>
  <c r="Q34" i="44"/>
  <c r="Q106" i="44"/>
  <c r="Q17" i="44"/>
  <c r="Q80" i="44"/>
  <c r="Q144" i="44"/>
  <c r="Q52" i="44"/>
  <c r="Q147" i="44"/>
  <c r="Q93" i="44"/>
  <c r="Q83" i="44"/>
  <c r="Q51" i="44"/>
  <c r="Q124" i="44"/>
  <c r="Q118" i="44"/>
  <c r="Q103" i="44"/>
  <c r="Q33" i="44"/>
  <c r="Q105" i="44"/>
  <c r="Q107" i="44"/>
  <c r="Q127" i="44"/>
  <c r="Q62" i="44"/>
  <c r="Q10" i="44"/>
  <c r="Q47" i="44"/>
  <c r="Q16" i="44"/>
  <c r="Q77" i="44"/>
  <c r="Q148" i="44"/>
  <c r="Q72" i="44"/>
  <c r="Q39" i="44"/>
  <c r="Q42" i="44"/>
  <c r="Q36" i="44"/>
  <c r="Q116" i="44"/>
  <c r="Q66" i="44"/>
  <c r="Q102" i="44"/>
  <c r="Q119" i="44"/>
  <c r="Q38" i="44"/>
  <c r="Q117" i="44"/>
  <c r="Q58" i="44"/>
  <c r="Q14" i="44"/>
  <c r="Q151" i="44"/>
  <c r="Q50" i="44"/>
  <c r="Q12" i="44"/>
  <c r="Q19" i="44"/>
  <c r="Q41" i="44"/>
  <c r="Q63" i="44"/>
  <c r="Q43" i="44"/>
  <c r="Q160" i="44"/>
  <c r="Q126" i="44"/>
  <c r="Q115" i="44"/>
  <c r="Q27" i="44"/>
  <c r="Q129" i="44"/>
  <c r="Q122" i="44"/>
  <c r="Q138" i="44"/>
  <c r="Q135" i="44"/>
  <c r="Q128" i="44"/>
  <c r="Q70" i="44"/>
  <c r="Q88" i="44"/>
  <c r="Q141" i="44"/>
  <c r="Q23" i="44"/>
  <c r="Q22" i="44"/>
  <c r="Q120" i="44"/>
  <c r="R7" i="44"/>
  <c r="Q60" i="44"/>
  <c r="Q37" i="44"/>
  <c r="Q21" i="44"/>
  <c r="Q55" i="44"/>
  <c r="Q81" i="44"/>
  <c r="Q76" i="44"/>
  <c r="Q45" i="44"/>
  <c r="Q30" i="44"/>
  <c r="Q59" i="44"/>
  <c r="Q150" i="44"/>
  <c r="Q134" i="44"/>
  <c r="Q139" i="44"/>
  <c r="Q82" i="44"/>
  <c r="Q48" i="44"/>
  <c r="Q87" i="44"/>
  <c r="N154" i="44"/>
  <c r="M156" i="44"/>
  <c r="T177" i="29"/>
  <c r="O19" i="28" s="1"/>
  <c r="N178" i="29"/>
  <c r="M180" i="29"/>
  <c r="P153" i="44"/>
  <c r="Q15" i="43" s="1"/>
  <c r="L157" i="44"/>
  <c r="R12" i="43"/>
  <c r="L181" i="29"/>
  <c r="P12" i="28"/>
  <c r="U139" i="29"/>
  <c r="V139" i="29" s="1"/>
  <c r="W139" i="29" s="1"/>
  <c r="U135" i="29"/>
  <c r="V135" i="29" s="1"/>
  <c r="W135" i="29" s="1"/>
  <c r="U137" i="29"/>
  <c r="V137" i="29" s="1"/>
  <c r="W137" i="29" s="1"/>
  <c r="U38" i="29"/>
  <c r="V38" i="29" s="1"/>
  <c r="W38" i="29" s="1"/>
  <c r="U146" i="29"/>
  <c r="V146" i="29" s="1"/>
  <c r="W146" i="29" s="1"/>
  <c r="U40" i="29"/>
  <c r="V40" i="29" s="1"/>
  <c r="W40" i="29" s="1"/>
  <c r="U62" i="29"/>
  <c r="V62" i="29" s="1"/>
  <c r="W62" i="29" s="1"/>
  <c r="U27" i="29"/>
  <c r="V27" i="29" s="1"/>
  <c r="W27" i="29" s="1"/>
  <c r="U132" i="29"/>
  <c r="V132" i="29" s="1"/>
  <c r="W132" i="29" s="1"/>
  <c r="U136" i="29"/>
  <c r="V136" i="29" s="1"/>
  <c r="W136" i="29" s="1"/>
  <c r="U78" i="29"/>
  <c r="V78" i="29" s="1"/>
  <c r="W78" i="29" s="1"/>
  <c r="U140" i="29"/>
  <c r="V140" i="29" s="1"/>
  <c r="W140" i="29" s="1"/>
  <c r="U69" i="29"/>
  <c r="V69" i="29" s="1"/>
  <c r="W69" i="29" s="1"/>
  <c r="U131" i="29"/>
  <c r="V131" i="29" s="1"/>
  <c r="W131" i="29" s="1"/>
  <c r="U90" i="29"/>
  <c r="V90" i="29" s="1"/>
  <c r="W90" i="29" s="1"/>
  <c r="U173" i="29"/>
  <c r="V173" i="29" s="1"/>
  <c r="W173" i="29" s="1"/>
  <c r="U105" i="29"/>
  <c r="V105" i="29" s="1"/>
  <c r="W105" i="29" s="1"/>
  <c r="U108" i="29"/>
  <c r="V108" i="29" s="1"/>
  <c r="W108" i="29" s="1"/>
  <c r="U106" i="29"/>
  <c r="V106" i="29" s="1"/>
  <c r="W106" i="29" s="1"/>
  <c r="U12" i="29"/>
  <c r="V12" i="29" s="1"/>
  <c r="W12" i="29" s="1"/>
  <c r="U13" i="29"/>
  <c r="V13" i="29" s="1"/>
  <c r="W13" i="29" s="1"/>
  <c r="U96" i="29"/>
  <c r="V96" i="29" s="1"/>
  <c r="W96" i="29" s="1"/>
  <c r="U145" i="29"/>
  <c r="V145" i="29" s="1"/>
  <c r="W145" i="29" s="1"/>
  <c r="U110" i="29"/>
  <c r="V110" i="29" s="1"/>
  <c r="W110" i="29" s="1"/>
  <c r="U109" i="29"/>
  <c r="V109" i="29" s="1"/>
  <c r="W109" i="29" s="1"/>
  <c r="U149" i="29"/>
  <c r="V149" i="29" s="1"/>
  <c r="W149" i="29" s="1"/>
  <c r="U172" i="29"/>
  <c r="V172" i="29" s="1"/>
  <c r="W172" i="29" s="1"/>
  <c r="U32" i="29"/>
  <c r="V32" i="29" s="1"/>
  <c r="W32" i="29" s="1"/>
  <c r="U148" i="29"/>
  <c r="V148" i="29" s="1"/>
  <c r="W148" i="29" s="1"/>
  <c r="U59" i="29"/>
  <c r="V59" i="29" s="1"/>
  <c r="W59" i="29" s="1"/>
  <c r="U141" i="29"/>
  <c r="V141" i="29" s="1"/>
  <c r="W141" i="29" s="1"/>
  <c r="U72" i="29"/>
  <c r="V72" i="29" s="1"/>
  <c r="W72" i="29" s="1"/>
  <c r="U39" i="29"/>
  <c r="U23" i="29"/>
  <c r="V23" i="29" s="1"/>
  <c r="W23" i="29" s="1"/>
  <c r="U67" i="29"/>
  <c r="V67" i="29" s="1"/>
  <c r="W67" i="29" s="1"/>
  <c r="U120" i="29"/>
  <c r="V120" i="29" s="1"/>
  <c r="W120" i="29" s="1"/>
  <c r="U107" i="29"/>
  <c r="V107" i="29" s="1"/>
  <c r="W107" i="29" s="1"/>
  <c r="U19" i="29"/>
  <c r="V19" i="29" s="1"/>
  <c r="W19" i="29" s="1"/>
  <c r="U44" i="29"/>
  <c r="V44" i="29" s="1"/>
  <c r="W44" i="29" s="1"/>
  <c r="U82" i="29"/>
  <c r="V82" i="29" s="1"/>
  <c r="W82" i="29" s="1"/>
  <c r="U92" i="29"/>
  <c r="V92" i="29" s="1"/>
  <c r="W92" i="29" s="1"/>
  <c r="U77" i="29"/>
  <c r="V77" i="29" s="1"/>
  <c r="W77" i="29" s="1"/>
  <c r="U157" i="29"/>
  <c r="V157" i="29" s="1"/>
  <c r="W157" i="29" s="1"/>
  <c r="U114" i="29"/>
  <c r="V114" i="29" s="1"/>
  <c r="W114" i="29" s="1"/>
  <c r="U158" i="29"/>
  <c r="V158" i="29" s="1"/>
  <c r="W158" i="29" s="1"/>
  <c r="U35" i="29"/>
  <c r="V35" i="29" s="1"/>
  <c r="W35" i="29" s="1"/>
  <c r="U85" i="29"/>
  <c r="V85" i="29" s="1"/>
  <c r="W85" i="29" s="1"/>
  <c r="U103" i="29"/>
  <c r="V103" i="29" s="1"/>
  <c r="W103" i="29" s="1"/>
  <c r="U168" i="29"/>
  <c r="V168" i="29" s="1"/>
  <c r="W168" i="29" s="1"/>
  <c r="U87" i="29"/>
  <c r="V87" i="29" s="1"/>
  <c r="W87" i="29" s="1"/>
  <c r="U47" i="29"/>
  <c r="V47" i="29" s="1"/>
  <c r="W47" i="29" s="1"/>
  <c r="U104" i="29"/>
  <c r="V104" i="29" s="1"/>
  <c r="W104" i="29" s="1"/>
  <c r="U79" i="29"/>
  <c r="V79" i="29" s="1"/>
  <c r="W79" i="29" s="1"/>
  <c r="U15" i="29"/>
  <c r="V15" i="29" s="1"/>
  <c r="W15" i="29" s="1"/>
  <c r="U33" i="29"/>
  <c r="V33" i="29" s="1"/>
  <c r="W33" i="29" s="1"/>
  <c r="U48" i="29"/>
  <c r="V48" i="29" s="1"/>
  <c r="W48" i="29" s="1"/>
  <c r="U57" i="29"/>
  <c r="V57" i="29" s="1"/>
  <c r="W57" i="29" s="1"/>
  <c r="U58" i="29"/>
  <c r="V58" i="29" s="1"/>
  <c r="W58" i="29" s="1"/>
  <c r="U34" i="29"/>
  <c r="V34" i="29" s="1"/>
  <c r="W34" i="29" s="1"/>
  <c r="U83" i="29"/>
  <c r="V83" i="29" s="1"/>
  <c r="W83" i="29" s="1"/>
  <c r="U144" i="29"/>
  <c r="V144" i="29" s="1"/>
  <c r="W144" i="29" s="1"/>
  <c r="U118" i="29"/>
  <c r="V118" i="29" s="1"/>
  <c r="W118" i="29" s="1"/>
  <c r="U163" i="29"/>
  <c r="V163" i="29" s="1"/>
  <c r="W163" i="29" s="1"/>
  <c r="U18" i="29"/>
  <c r="V18" i="29" s="1"/>
  <c r="W18" i="29" s="1"/>
  <c r="U169" i="29"/>
  <c r="V169" i="29" s="1"/>
  <c r="W169" i="29" s="1"/>
  <c r="U117" i="29"/>
  <c r="V117" i="29" s="1"/>
  <c r="W117" i="29" s="1"/>
  <c r="U84" i="29"/>
  <c r="V84" i="29" s="1"/>
  <c r="W84" i="29" s="1"/>
  <c r="U97" i="29"/>
  <c r="V97" i="29" s="1"/>
  <c r="W97" i="29" s="1"/>
  <c r="U54" i="29"/>
  <c r="V54" i="29" s="1"/>
  <c r="W54" i="29" s="1"/>
  <c r="U124" i="29"/>
  <c r="V124" i="29" s="1"/>
  <c r="W124" i="29" s="1"/>
  <c r="U162" i="29"/>
  <c r="V162" i="29" s="1"/>
  <c r="W162" i="29" s="1"/>
  <c r="U101" i="29"/>
  <c r="V101" i="29" s="1"/>
  <c r="W101" i="29" s="1"/>
  <c r="U164" i="29"/>
  <c r="V164" i="29" s="1"/>
  <c r="W164" i="29" s="1"/>
  <c r="U80" i="29"/>
  <c r="V80" i="29" s="1"/>
  <c r="W80" i="29" s="1"/>
  <c r="U176" i="29"/>
  <c r="V176" i="29" s="1"/>
  <c r="W176" i="29" s="1"/>
  <c r="U142" i="29"/>
  <c r="V142" i="29" s="1"/>
  <c r="W142" i="29" s="1"/>
  <c r="U166" i="29"/>
  <c r="V166" i="29" s="1"/>
  <c r="W166" i="29" s="1"/>
  <c r="U76" i="29"/>
  <c r="V76" i="29" s="1"/>
  <c r="W76" i="29" s="1"/>
  <c r="U37" i="29"/>
  <c r="V37" i="29" s="1"/>
  <c r="W37" i="29" s="1"/>
  <c r="U171" i="29"/>
  <c r="V171" i="29" s="1"/>
  <c r="W171" i="29" s="1"/>
  <c r="U65" i="29"/>
  <c r="V65" i="29" s="1"/>
  <c r="W65" i="29" s="1"/>
  <c r="U98" i="29"/>
  <c r="V98" i="29" s="1"/>
  <c r="W98" i="29" s="1"/>
  <c r="U175" i="29"/>
  <c r="V175" i="29" s="1"/>
  <c r="W175" i="29" s="1"/>
  <c r="U11" i="29"/>
  <c r="V11" i="29" s="1"/>
  <c r="W11" i="29" s="1"/>
  <c r="U71" i="29"/>
  <c r="V71" i="29" s="1"/>
  <c r="W71" i="29" s="1"/>
  <c r="U100" i="29"/>
  <c r="V100" i="29" s="1"/>
  <c r="W100" i="29" s="1"/>
  <c r="U75" i="29"/>
  <c r="V75" i="29" s="1"/>
  <c r="W75" i="29" s="1"/>
  <c r="U43" i="29"/>
  <c r="V43" i="29" s="1"/>
  <c r="W43" i="29" s="1"/>
  <c r="U128" i="29"/>
  <c r="V128" i="29" s="1"/>
  <c r="W128" i="29" s="1"/>
  <c r="U116" i="29"/>
  <c r="V116" i="29" s="1"/>
  <c r="W116" i="29" s="1"/>
  <c r="U52" i="29"/>
  <c r="U152" i="29"/>
  <c r="V152" i="29" s="1"/>
  <c r="W152" i="29" s="1"/>
  <c r="U64" i="29"/>
  <c r="V64" i="29" s="1"/>
  <c r="W64" i="29" s="1"/>
  <c r="U156" i="29"/>
  <c r="V156" i="29" s="1"/>
  <c r="W156" i="29" s="1"/>
  <c r="U88" i="29"/>
  <c r="V88" i="29" s="1"/>
  <c r="W88" i="29" s="1"/>
  <c r="U61" i="29"/>
  <c r="V61" i="29" s="1"/>
  <c r="W61" i="29" s="1"/>
  <c r="U122" i="29"/>
  <c r="V122" i="29" s="1"/>
  <c r="W122" i="29" s="1"/>
  <c r="U119" i="29"/>
  <c r="V119" i="29" s="1"/>
  <c r="W119" i="29" s="1"/>
  <c r="U45" i="29"/>
  <c r="V45" i="29" s="1"/>
  <c r="W45" i="29" s="1"/>
  <c r="U126" i="29"/>
  <c r="V126" i="29" s="1"/>
  <c r="W126" i="29" s="1"/>
  <c r="U25" i="29"/>
  <c r="V25" i="29" s="1"/>
  <c r="W25" i="29" s="1"/>
  <c r="U129" i="29"/>
  <c r="V129" i="29" s="1"/>
  <c r="W129" i="29" s="1"/>
  <c r="U31" i="29"/>
  <c r="V31" i="29" s="1"/>
  <c r="W31" i="29" s="1"/>
  <c r="U14" i="29"/>
  <c r="V14" i="29" s="1"/>
  <c r="W14" i="29" s="1"/>
  <c r="U10" i="29"/>
  <c r="V10" i="29" s="1"/>
  <c r="W10" i="29" s="1"/>
  <c r="U24" i="29"/>
  <c r="V24" i="29" s="1"/>
  <c r="W24" i="29" s="1"/>
  <c r="U42" i="29"/>
  <c r="V42" i="29" s="1"/>
  <c r="W42" i="29" s="1"/>
  <c r="U81" i="29"/>
  <c r="V81" i="29" s="1"/>
  <c r="W81" i="29" s="1"/>
  <c r="U95" i="29"/>
  <c r="V95" i="29" s="1"/>
  <c r="W95" i="29" s="1"/>
  <c r="U115" i="29"/>
  <c r="V115" i="29" s="1"/>
  <c r="W115" i="29" s="1"/>
  <c r="U55" i="29"/>
  <c r="V55" i="29" s="1"/>
  <c r="W55" i="29" s="1"/>
  <c r="U50" i="29"/>
  <c r="V50" i="29" s="1"/>
  <c r="W50" i="29" s="1"/>
  <c r="U29" i="29"/>
  <c r="V29" i="29" s="1"/>
  <c r="W29" i="29" s="1"/>
  <c r="U22" i="29"/>
  <c r="V22" i="29" s="1"/>
  <c r="W22" i="29" s="1"/>
  <c r="U143" i="29"/>
  <c r="V143" i="29" s="1"/>
  <c r="W143" i="29" s="1"/>
  <c r="U26" i="29"/>
  <c r="V26" i="29" s="1"/>
  <c r="W26" i="29" s="1"/>
  <c r="U112" i="29"/>
  <c r="V112" i="29" s="1"/>
  <c r="W112" i="29" s="1"/>
  <c r="U93" i="29"/>
  <c r="V93" i="29" s="1"/>
  <c r="W93" i="29" s="1"/>
  <c r="U127" i="29"/>
  <c r="V127" i="29" s="1"/>
  <c r="W127" i="29" s="1"/>
  <c r="U130" i="29"/>
  <c r="V130" i="29" s="1"/>
  <c r="W130" i="29" s="1"/>
  <c r="U28" i="29"/>
  <c r="V28" i="29" s="1"/>
  <c r="W28" i="29" s="1"/>
  <c r="U150" i="29"/>
  <c r="V150" i="29" s="1"/>
  <c r="W150" i="29" s="1"/>
  <c r="U147" i="29"/>
  <c r="V147" i="29" s="1"/>
  <c r="W147" i="29" s="1"/>
  <c r="U70" i="29"/>
  <c r="V70" i="29" s="1"/>
  <c r="W70" i="29" s="1"/>
  <c r="U160" i="29"/>
  <c r="V160" i="29" s="1"/>
  <c r="W160" i="29" s="1"/>
  <c r="U73" i="29"/>
  <c r="V73" i="29" s="1"/>
  <c r="W73" i="29" s="1"/>
  <c r="U49" i="29"/>
  <c r="V49" i="29" s="1"/>
  <c r="W49" i="29" s="1"/>
  <c r="U125" i="29"/>
  <c r="V125" i="29" s="1"/>
  <c r="W125" i="29" s="1"/>
  <c r="U167" i="29"/>
  <c r="V167" i="29" s="1"/>
  <c r="W167" i="29" s="1"/>
  <c r="U153" i="29"/>
  <c r="V153" i="29" s="1"/>
  <c r="W153" i="29" s="1"/>
  <c r="U133" i="29"/>
  <c r="V133" i="29" s="1"/>
  <c r="W133" i="29" s="1"/>
  <c r="U170" i="29"/>
  <c r="V170" i="29" s="1"/>
  <c r="W170" i="29" s="1"/>
  <c r="U159" i="29"/>
  <c r="V159" i="29" s="1"/>
  <c r="W159" i="29" s="1"/>
  <c r="U66" i="29"/>
  <c r="V66" i="29" s="1"/>
  <c r="W66" i="29" s="1"/>
  <c r="U138" i="29"/>
  <c r="V138" i="29" s="1"/>
  <c r="W138" i="29" s="1"/>
  <c r="U89" i="29"/>
  <c r="V89" i="29" s="1"/>
  <c r="W89" i="29" s="1"/>
  <c r="U41" i="29"/>
  <c r="V41" i="29" s="1"/>
  <c r="W41" i="29" s="1"/>
  <c r="U17" i="29"/>
  <c r="V17" i="29" s="1"/>
  <c r="W17" i="29" s="1"/>
  <c r="U60" i="29"/>
  <c r="V60" i="29" s="1"/>
  <c r="W60" i="29" s="1"/>
  <c r="U94" i="29"/>
  <c r="V94" i="29" s="1"/>
  <c r="W94" i="29" s="1"/>
  <c r="U91" i="29"/>
  <c r="V91" i="29" s="1"/>
  <c r="W91" i="29" s="1"/>
  <c r="U184" i="29"/>
  <c r="U68" i="29"/>
  <c r="V68" i="29" s="1"/>
  <c r="W68" i="29" s="1"/>
  <c r="U30" i="29"/>
  <c r="V30" i="29" s="1"/>
  <c r="W30" i="29" s="1"/>
  <c r="U9" i="29"/>
  <c r="U56" i="29"/>
  <c r="V56" i="29" s="1"/>
  <c r="W56" i="29" s="1"/>
  <c r="U51" i="29"/>
  <c r="V51" i="29" s="1"/>
  <c r="W51" i="29" s="1"/>
  <c r="U123" i="29"/>
  <c r="V123" i="29" s="1"/>
  <c r="W123" i="29" s="1"/>
  <c r="U121" i="29"/>
  <c r="U151" i="29"/>
  <c r="V151" i="29" s="1"/>
  <c r="W151" i="29" s="1"/>
  <c r="U86" i="29"/>
  <c r="V86" i="29" s="1"/>
  <c r="W86" i="29" s="1"/>
  <c r="U16" i="29"/>
  <c r="V16" i="29" s="1"/>
  <c r="W16" i="29" s="1"/>
  <c r="U165" i="29"/>
  <c r="V165" i="29" s="1"/>
  <c r="W165" i="29" s="1"/>
  <c r="U99" i="29"/>
  <c r="V99" i="29" s="1"/>
  <c r="W99" i="29" s="1"/>
  <c r="U36" i="29"/>
  <c r="V36" i="29" s="1"/>
  <c r="W36" i="29" s="1"/>
  <c r="U174" i="29"/>
  <c r="V174" i="29" s="1"/>
  <c r="W174" i="29" s="1"/>
  <c r="U53" i="29"/>
  <c r="V53" i="29" s="1"/>
  <c r="W53" i="29" s="1"/>
  <c r="U74" i="29"/>
  <c r="V74" i="29" s="1"/>
  <c r="W74" i="29" s="1"/>
  <c r="U113" i="29"/>
  <c r="V113" i="29" s="1"/>
  <c r="W113" i="29" s="1"/>
  <c r="U155" i="29"/>
  <c r="V155" i="29" s="1"/>
  <c r="W155" i="29" s="1"/>
  <c r="U21" i="29"/>
  <c r="V21" i="29" s="1"/>
  <c r="W21" i="29" s="1"/>
  <c r="U63" i="29"/>
  <c r="V63" i="29" s="1"/>
  <c r="W63" i="29" s="1"/>
  <c r="U161" i="29"/>
  <c r="V161" i="29" s="1"/>
  <c r="W161" i="29" s="1"/>
  <c r="U46" i="29"/>
  <c r="V46" i="29" s="1"/>
  <c r="W46" i="29" s="1"/>
  <c r="U102" i="29"/>
  <c r="V102" i="29" s="1"/>
  <c r="W102" i="29" s="1"/>
  <c r="U20" i="29"/>
  <c r="V20" i="29" s="1"/>
  <c r="W20" i="29" s="1"/>
  <c r="U111" i="29"/>
  <c r="V111" i="29" s="1"/>
  <c r="W111" i="29" s="1"/>
  <c r="U154" i="29"/>
  <c r="V154" i="29" s="1"/>
  <c r="W154" i="29" s="1"/>
  <c r="U134" i="29"/>
  <c r="V134" i="29" s="1"/>
  <c r="W134" i="29" s="1"/>
  <c r="K158" i="44"/>
  <c r="K159" i="44"/>
  <c r="K182" i="29"/>
  <c r="K183" i="29"/>
  <c r="V39" i="29"/>
  <c r="W39" i="29" s="1"/>
  <c r="V52" i="29"/>
  <c r="W52" i="29" s="1"/>
  <c r="V121" i="29"/>
  <c r="W121" i="29" s="1"/>
  <c r="U177" i="29" l="1"/>
  <c r="O20" i="28" s="1"/>
  <c r="M181" i="29"/>
  <c r="P13" i="28"/>
  <c r="O154" i="44"/>
  <c r="N156" i="44"/>
  <c r="R47" i="44"/>
  <c r="R32" i="44"/>
  <c r="R31" i="44"/>
  <c r="R55" i="44"/>
  <c r="R10" i="44"/>
  <c r="R62" i="44"/>
  <c r="R126" i="44"/>
  <c r="R34" i="44"/>
  <c r="R59" i="44"/>
  <c r="R127" i="44"/>
  <c r="R51" i="44"/>
  <c r="R125" i="44"/>
  <c r="R88" i="44"/>
  <c r="R19" i="44"/>
  <c r="R128" i="44"/>
  <c r="R107" i="44"/>
  <c r="R79" i="44"/>
  <c r="R57" i="44"/>
  <c r="S7" i="44"/>
  <c r="R98" i="44"/>
  <c r="R63" i="44"/>
  <c r="R86" i="44"/>
  <c r="R21" i="44"/>
  <c r="R117" i="44"/>
  <c r="R89" i="44"/>
  <c r="R25" i="44"/>
  <c r="R90" i="44"/>
  <c r="R13" i="44"/>
  <c r="R69" i="44"/>
  <c r="R56" i="44"/>
  <c r="R61" i="44"/>
  <c r="R118" i="44"/>
  <c r="R132" i="44"/>
  <c r="R121" i="44"/>
  <c r="R33" i="44"/>
  <c r="R146" i="44"/>
  <c r="R64" i="44"/>
  <c r="R37" i="44"/>
  <c r="R50" i="44"/>
  <c r="R41" i="44"/>
  <c r="R83" i="44"/>
  <c r="R97" i="44"/>
  <c r="R29" i="44"/>
  <c r="R116" i="44"/>
  <c r="R42" i="44"/>
  <c r="R43" i="44"/>
  <c r="R40" i="44"/>
  <c r="R111" i="44"/>
  <c r="R65" i="44"/>
  <c r="R76" i="44"/>
  <c r="R38" i="44"/>
  <c r="R108" i="44"/>
  <c r="R12" i="44"/>
  <c r="R84" i="44"/>
  <c r="R92" i="44"/>
  <c r="R24" i="44"/>
  <c r="R134" i="44"/>
  <c r="R137" i="44"/>
  <c r="R124" i="44"/>
  <c r="R73" i="44"/>
  <c r="R17" i="44"/>
  <c r="R46" i="44"/>
  <c r="R123" i="44"/>
  <c r="R110" i="44"/>
  <c r="R22" i="44"/>
  <c r="R23" i="44"/>
  <c r="R139" i="44"/>
  <c r="R131" i="44"/>
  <c r="R141" i="44"/>
  <c r="R35" i="44"/>
  <c r="R11" i="44"/>
  <c r="R52" i="44"/>
  <c r="R143" i="44"/>
  <c r="R66" i="44"/>
  <c r="R99" i="44"/>
  <c r="R150" i="44"/>
  <c r="R138" i="44"/>
  <c r="R60" i="44"/>
  <c r="R133" i="44"/>
  <c r="R102" i="44"/>
  <c r="R58" i="44"/>
  <c r="R71" i="44"/>
  <c r="R82" i="44"/>
  <c r="R26" i="44"/>
  <c r="R144" i="44"/>
  <c r="R114" i="44"/>
  <c r="R109" i="44"/>
  <c r="R36" i="44"/>
  <c r="R72" i="44"/>
  <c r="R115" i="44"/>
  <c r="R45" i="44"/>
  <c r="R9" i="44"/>
  <c r="R44" i="44"/>
  <c r="R30" i="44"/>
  <c r="R142" i="44"/>
  <c r="R95" i="44"/>
  <c r="R54" i="44"/>
  <c r="R149" i="44"/>
  <c r="R18" i="44"/>
  <c r="R147" i="44"/>
  <c r="R120" i="44"/>
  <c r="R145" i="44"/>
  <c r="R85" i="44"/>
  <c r="R14" i="44"/>
  <c r="R77" i="44"/>
  <c r="R136" i="44"/>
  <c r="R68" i="44"/>
  <c r="R101" i="44"/>
  <c r="R94" i="44"/>
  <c r="R53" i="44"/>
  <c r="R67" i="44"/>
  <c r="R104" i="44"/>
  <c r="R135" i="44"/>
  <c r="R113" i="44"/>
  <c r="R96" i="44"/>
  <c r="R160" i="44"/>
  <c r="R112" i="44"/>
  <c r="R87" i="44"/>
  <c r="R93" i="44"/>
  <c r="R28" i="44"/>
  <c r="R8" i="44"/>
  <c r="R16" i="44"/>
  <c r="R129" i="44"/>
  <c r="R105" i="44"/>
  <c r="R81" i="44"/>
  <c r="R151" i="44"/>
  <c r="R106" i="44"/>
  <c r="R75" i="44"/>
  <c r="R119" i="44"/>
  <c r="R39" i="44"/>
  <c r="R148" i="44"/>
  <c r="R70" i="44"/>
  <c r="R74" i="44"/>
  <c r="R140" i="44"/>
  <c r="R80" i="44"/>
  <c r="R48" i="44"/>
  <c r="R100" i="44"/>
  <c r="R15" i="44"/>
  <c r="R20" i="44"/>
  <c r="R122" i="44"/>
  <c r="R103" i="44"/>
  <c r="R49" i="44"/>
  <c r="R91" i="44"/>
  <c r="R78" i="44"/>
  <c r="R130" i="44"/>
  <c r="R152" i="44"/>
  <c r="R27" i="44"/>
  <c r="L182" i="29"/>
  <c r="L183" i="29"/>
  <c r="V9" i="29"/>
  <c r="Q153" i="44"/>
  <c r="Q16" i="43" s="1"/>
  <c r="M157" i="44"/>
  <c r="R13" i="43"/>
  <c r="O178" i="29"/>
  <c r="N180" i="29"/>
  <c r="L159" i="44"/>
  <c r="L158" i="44"/>
  <c r="S105" i="44" l="1"/>
  <c r="S54" i="44"/>
  <c r="S110" i="44"/>
  <c r="S20" i="44"/>
  <c r="S66" i="44"/>
  <c r="S106" i="44"/>
  <c r="S103" i="44"/>
  <c r="S134" i="44"/>
  <c r="S68" i="44"/>
  <c r="S109" i="44"/>
  <c r="S44" i="44"/>
  <c r="S151" i="44"/>
  <c r="S17" i="44"/>
  <c r="S36" i="44"/>
  <c r="S35" i="44"/>
  <c r="S78" i="44"/>
  <c r="S37" i="44"/>
  <c r="S55" i="44"/>
  <c r="S135" i="44"/>
  <c r="T7" i="44"/>
  <c r="S42" i="44"/>
  <c r="S94" i="44"/>
  <c r="S62" i="44"/>
  <c r="S16" i="44"/>
  <c r="S160" i="44"/>
  <c r="S119" i="44"/>
  <c r="S12" i="44"/>
  <c r="S131" i="44"/>
  <c r="S11" i="44"/>
  <c r="S87" i="44"/>
  <c r="S107" i="44"/>
  <c r="S132" i="44"/>
  <c r="S41" i="44"/>
  <c r="S141" i="44"/>
  <c r="S9" i="44"/>
  <c r="S79" i="44"/>
  <c r="S113" i="44"/>
  <c r="S124" i="44"/>
  <c r="S128" i="44"/>
  <c r="S61" i="44"/>
  <c r="S65" i="44"/>
  <c r="S146" i="44"/>
  <c r="S86" i="44"/>
  <c r="S56" i="44"/>
  <c r="S123" i="44"/>
  <c r="S100" i="44"/>
  <c r="S63" i="44"/>
  <c r="S92" i="44"/>
  <c r="S67" i="44"/>
  <c r="S77" i="44"/>
  <c r="S74" i="44"/>
  <c r="S43" i="44"/>
  <c r="S59" i="44"/>
  <c r="S30" i="44"/>
  <c r="S118" i="44"/>
  <c r="S19" i="44"/>
  <c r="S139" i="44"/>
  <c r="S104" i="44"/>
  <c r="S121" i="44"/>
  <c r="S22" i="44"/>
  <c r="S15" i="44"/>
  <c r="S108" i="44"/>
  <c r="S40" i="44"/>
  <c r="S10" i="44"/>
  <c r="S28" i="44"/>
  <c r="S50" i="44"/>
  <c r="S72" i="44"/>
  <c r="S18" i="44"/>
  <c r="S38" i="44"/>
  <c r="S136" i="44"/>
  <c r="S125" i="44"/>
  <c r="S80" i="44"/>
  <c r="S90" i="44"/>
  <c r="S122" i="44"/>
  <c r="S143" i="44"/>
  <c r="S64" i="44"/>
  <c r="S73" i="44"/>
  <c r="S27" i="44"/>
  <c r="S120" i="44"/>
  <c r="S85" i="44"/>
  <c r="S21" i="44"/>
  <c r="S148" i="44"/>
  <c r="S32" i="44"/>
  <c r="S116" i="44"/>
  <c r="S13" i="44"/>
  <c r="S88" i="44"/>
  <c r="S95" i="44"/>
  <c r="S84" i="44"/>
  <c r="S39" i="44"/>
  <c r="S26" i="44"/>
  <c r="S14" i="44"/>
  <c r="S145" i="44"/>
  <c r="S98" i="44"/>
  <c r="S69" i="44"/>
  <c r="S96" i="44"/>
  <c r="S8" i="44"/>
  <c r="S147" i="44"/>
  <c r="S101" i="44"/>
  <c r="S97" i="44"/>
  <c r="S130" i="44"/>
  <c r="S117" i="44"/>
  <c r="S102" i="44"/>
  <c r="S140" i="44"/>
  <c r="S142" i="44"/>
  <c r="S99" i="44"/>
  <c r="S51" i="44"/>
  <c r="S82" i="44"/>
  <c r="S81" i="44"/>
  <c r="S46" i="44"/>
  <c r="S133" i="44"/>
  <c r="S129" i="44"/>
  <c r="S93" i="44"/>
  <c r="S52" i="44"/>
  <c r="S152" i="44"/>
  <c r="S83" i="44"/>
  <c r="S112" i="44"/>
  <c r="S89" i="44"/>
  <c r="S34" i="44"/>
  <c r="S114" i="44"/>
  <c r="S60" i="44"/>
  <c r="S53" i="44"/>
  <c r="S126" i="44"/>
  <c r="S144" i="44"/>
  <c r="S76" i="44"/>
  <c r="S31" i="44"/>
  <c r="S137" i="44"/>
  <c r="S71" i="44"/>
  <c r="S48" i="44"/>
  <c r="S24" i="44"/>
  <c r="S49" i="44"/>
  <c r="S33" i="44"/>
  <c r="S111" i="44"/>
  <c r="S115" i="44"/>
  <c r="S150" i="44"/>
  <c r="S149" i="44"/>
  <c r="S47" i="44"/>
  <c r="S23" i="44"/>
  <c r="S57" i="44"/>
  <c r="S70" i="44"/>
  <c r="S58" i="44"/>
  <c r="S91" i="44"/>
  <c r="S127" i="44"/>
  <c r="S138" i="44"/>
  <c r="S75" i="44"/>
  <c r="S25" i="44"/>
  <c r="S45" i="44"/>
  <c r="S29" i="44"/>
  <c r="O156" i="44"/>
  <c r="P154" i="44"/>
  <c r="W9" i="29"/>
  <c r="W177" i="29" s="1"/>
  <c r="V177" i="29"/>
  <c r="N181" i="29"/>
  <c r="P14" i="28"/>
  <c r="O180" i="29"/>
  <c r="P178" i="29"/>
  <c r="N157" i="44"/>
  <c r="R14" i="43"/>
  <c r="R153" i="44"/>
  <c r="Q17" i="43" s="1"/>
  <c r="M183" i="29"/>
  <c r="M182" i="29"/>
  <c r="M158" i="44"/>
  <c r="M159" i="44"/>
  <c r="O21" i="28"/>
  <c r="P21" i="28" s="1"/>
  <c r="P180" i="29" l="1"/>
  <c r="Q178" i="29"/>
  <c r="S153" i="44"/>
  <c r="Q18" i="43" s="1"/>
  <c r="T145" i="44"/>
  <c r="T15" i="44"/>
  <c r="T63" i="44"/>
  <c r="T148" i="44"/>
  <c r="T20" i="44"/>
  <c r="T97" i="44"/>
  <c r="T136" i="44"/>
  <c r="T125" i="44"/>
  <c r="T82" i="44"/>
  <c r="T91" i="44"/>
  <c r="T98" i="44"/>
  <c r="T18" i="44"/>
  <c r="T95" i="44"/>
  <c r="T111" i="44"/>
  <c r="T46" i="44"/>
  <c r="T89" i="44"/>
  <c r="T105" i="44"/>
  <c r="T31" i="44"/>
  <c r="T92" i="44"/>
  <c r="T116" i="44"/>
  <c r="T10" i="44"/>
  <c r="T25" i="44"/>
  <c r="T60" i="44"/>
  <c r="T27" i="44"/>
  <c r="T44" i="44"/>
  <c r="T128" i="44"/>
  <c r="T47" i="44"/>
  <c r="T85" i="44"/>
  <c r="T113" i="44"/>
  <c r="T119" i="44"/>
  <c r="T58" i="44"/>
  <c r="T152" i="44"/>
  <c r="T114" i="44"/>
  <c r="T19" i="44"/>
  <c r="T134" i="44"/>
  <c r="T137" i="44"/>
  <c r="T59" i="44"/>
  <c r="T12" i="44"/>
  <c r="T50" i="44"/>
  <c r="T51" i="44"/>
  <c r="T67" i="44"/>
  <c r="T118" i="44"/>
  <c r="T138" i="44"/>
  <c r="T71" i="44"/>
  <c r="T142" i="44"/>
  <c r="T36" i="44"/>
  <c r="T149" i="44"/>
  <c r="T106" i="44"/>
  <c r="T150" i="44"/>
  <c r="T33" i="44"/>
  <c r="T101" i="44"/>
  <c r="T147" i="44"/>
  <c r="T123" i="44"/>
  <c r="T146" i="44"/>
  <c r="T73" i="44"/>
  <c r="T34" i="44"/>
  <c r="T160" i="44"/>
  <c r="U7" i="44"/>
  <c r="T77" i="44"/>
  <c r="T78" i="44"/>
  <c r="T107" i="44"/>
  <c r="T65" i="44"/>
  <c r="T29" i="44"/>
  <c r="T100" i="44"/>
  <c r="T32" i="44"/>
  <c r="T43" i="44"/>
  <c r="T135" i="44"/>
  <c r="T126" i="44"/>
  <c r="T86" i="44"/>
  <c r="T108" i="44"/>
  <c r="T52" i="44"/>
  <c r="T121" i="44"/>
  <c r="T40" i="44"/>
  <c r="T84" i="44"/>
  <c r="T143" i="44"/>
  <c r="T109" i="44"/>
  <c r="T131" i="44"/>
  <c r="T140" i="44"/>
  <c r="T69" i="44"/>
  <c r="T57" i="44"/>
  <c r="T130" i="44"/>
  <c r="T124" i="44"/>
  <c r="T96" i="44"/>
  <c r="T35" i="44"/>
  <c r="T139" i="44"/>
  <c r="T79" i="44"/>
  <c r="T80" i="44"/>
  <c r="T74" i="44"/>
  <c r="T28" i="44"/>
  <c r="T54" i="44"/>
  <c r="T110" i="44"/>
  <c r="T141" i="44"/>
  <c r="T22" i="44"/>
  <c r="T45" i="44"/>
  <c r="T53" i="44"/>
  <c r="T103" i="44"/>
  <c r="T16" i="44"/>
  <c r="T120" i="44"/>
  <c r="T144" i="44"/>
  <c r="T72" i="44"/>
  <c r="T41" i="44"/>
  <c r="T11" i="44"/>
  <c r="T13" i="44"/>
  <c r="T99" i="44"/>
  <c r="T61" i="44"/>
  <c r="T62" i="44"/>
  <c r="T9" i="44"/>
  <c r="T37" i="44"/>
  <c r="T127" i="44"/>
  <c r="T42" i="44"/>
  <c r="T66" i="44"/>
  <c r="T87" i="44"/>
  <c r="T133" i="44"/>
  <c r="T75" i="44"/>
  <c r="T24" i="44"/>
  <c r="T68" i="44"/>
  <c r="T83" i="44"/>
  <c r="T90" i="44"/>
  <c r="T115" i="44"/>
  <c r="T56" i="44"/>
  <c r="T17" i="44"/>
  <c r="T94" i="44"/>
  <c r="T23" i="44"/>
  <c r="T93" i="44"/>
  <c r="T21" i="44"/>
  <c r="T39" i="44"/>
  <c r="T70" i="44"/>
  <c r="T112" i="44"/>
  <c r="T30" i="44"/>
  <c r="T132" i="44"/>
  <c r="T14" i="44"/>
  <c r="T55" i="44"/>
  <c r="T88" i="44"/>
  <c r="T122" i="44"/>
  <c r="T38" i="44"/>
  <c r="T8" i="44"/>
  <c r="T102" i="44"/>
  <c r="T129" i="44"/>
  <c r="T49" i="44"/>
  <c r="T117" i="44"/>
  <c r="T81" i="44"/>
  <c r="T104" i="44"/>
  <c r="T64" i="44"/>
  <c r="T151" i="44"/>
  <c r="T76" i="44"/>
  <c r="T48" i="44"/>
  <c r="T26" i="44"/>
  <c r="O157" i="44"/>
  <c r="R15" i="43"/>
  <c r="N159" i="44"/>
  <c r="N158" i="44"/>
  <c r="O181" i="29"/>
  <c r="P15" i="28"/>
  <c r="N182" i="29"/>
  <c r="N183" i="29"/>
  <c r="P156" i="44"/>
  <c r="Q154" i="44"/>
  <c r="O182" i="29" l="1"/>
  <c r="O183" i="29"/>
  <c r="O158" i="44"/>
  <c r="O159" i="44"/>
  <c r="T153" i="44"/>
  <c r="Q19" i="43" s="1"/>
  <c r="R178" i="29"/>
  <c r="Q180" i="29"/>
  <c r="Q156" i="44"/>
  <c r="R154" i="44"/>
  <c r="U36" i="44"/>
  <c r="V36" i="44" s="1"/>
  <c r="W36" i="44" s="1"/>
  <c r="U136" i="44"/>
  <c r="V136" i="44" s="1"/>
  <c r="W136" i="44" s="1"/>
  <c r="U99" i="44"/>
  <c r="V99" i="44" s="1"/>
  <c r="W99" i="44" s="1"/>
  <c r="U122" i="44"/>
  <c r="V122" i="44" s="1"/>
  <c r="W122" i="44" s="1"/>
  <c r="U103" i="44"/>
  <c r="V103" i="44" s="1"/>
  <c r="W103" i="44" s="1"/>
  <c r="U131" i="44"/>
  <c r="V131" i="44" s="1"/>
  <c r="W131" i="44" s="1"/>
  <c r="U9" i="44"/>
  <c r="V9" i="44" s="1"/>
  <c r="W9" i="44" s="1"/>
  <c r="U37" i="44"/>
  <c r="V37" i="44" s="1"/>
  <c r="W37" i="44" s="1"/>
  <c r="U83" i="44"/>
  <c r="V83" i="44" s="1"/>
  <c r="W83" i="44" s="1"/>
  <c r="U70" i="44"/>
  <c r="V70" i="44" s="1"/>
  <c r="W70" i="44" s="1"/>
  <c r="U64" i="44"/>
  <c r="V64" i="44" s="1"/>
  <c r="W64" i="44" s="1"/>
  <c r="U39" i="44"/>
  <c r="V39" i="44" s="1"/>
  <c r="W39" i="44" s="1"/>
  <c r="U15" i="44"/>
  <c r="V15" i="44" s="1"/>
  <c r="W15" i="44" s="1"/>
  <c r="U22" i="44"/>
  <c r="V22" i="44" s="1"/>
  <c r="W22" i="44" s="1"/>
  <c r="U25" i="44"/>
  <c r="V25" i="44" s="1"/>
  <c r="W25" i="44" s="1"/>
  <c r="U80" i="44"/>
  <c r="V80" i="44" s="1"/>
  <c r="W80" i="44" s="1"/>
  <c r="U119" i="44"/>
  <c r="V119" i="44" s="1"/>
  <c r="W119" i="44" s="1"/>
  <c r="U46" i="44"/>
  <c r="V46" i="44" s="1"/>
  <c r="W46" i="44" s="1"/>
  <c r="U120" i="44"/>
  <c r="V120" i="44" s="1"/>
  <c r="W120" i="44" s="1"/>
  <c r="U100" i="44"/>
  <c r="V100" i="44" s="1"/>
  <c r="W100" i="44" s="1"/>
  <c r="U104" i="44"/>
  <c r="V104" i="44" s="1"/>
  <c r="W104" i="44" s="1"/>
  <c r="U76" i="44"/>
  <c r="V76" i="44" s="1"/>
  <c r="W76" i="44" s="1"/>
  <c r="U17" i="44"/>
  <c r="V17" i="44" s="1"/>
  <c r="W17" i="44" s="1"/>
  <c r="U150" i="44"/>
  <c r="V150" i="44" s="1"/>
  <c r="W150" i="44" s="1"/>
  <c r="U27" i="44"/>
  <c r="V27" i="44" s="1"/>
  <c r="W27" i="44" s="1"/>
  <c r="U98" i="44"/>
  <c r="V98" i="44" s="1"/>
  <c r="W98" i="44" s="1"/>
  <c r="U8" i="44"/>
  <c r="U69" i="44"/>
  <c r="V69" i="44" s="1"/>
  <c r="W69" i="44" s="1"/>
  <c r="U91" i="44"/>
  <c r="V91" i="44" s="1"/>
  <c r="W91" i="44" s="1"/>
  <c r="U28" i="44"/>
  <c r="V28" i="44" s="1"/>
  <c r="W28" i="44" s="1"/>
  <c r="U146" i="44"/>
  <c r="V146" i="44" s="1"/>
  <c r="W146" i="44" s="1"/>
  <c r="U140" i="44"/>
  <c r="V140" i="44" s="1"/>
  <c r="W140" i="44" s="1"/>
  <c r="U81" i="44"/>
  <c r="V81" i="44" s="1"/>
  <c r="W81" i="44" s="1"/>
  <c r="U51" i="44"/>
  <c r="V51" i="44" s="1"/>
  <c r="W51" i="44" s="1"/>
  <c r="U72" i="44"/>
  <c r="V72" i="44" s="1"/>
  <c r="W72" i="44" s="1"/>
  <c r="U85" i="44"/>
  <c r="V85" i="44" s="1"/>
  <c r="W85" i="44" s="1"/>
  <c r="U142" i="44"/>
  <c r="V142" i="44" s="1"/>
  <c r="W142" i="44" s="1"/>
  <c r="U135" i="44"/>
  <c r="V135" i="44" s="1"/>
  <c r="W135" i="44" s="1"/>
  <c r="U73" i="44"/>
  <c r="V73" i="44" s="1"/>
  <c r="W73" i="44" s="1"/>
  <c r="U123" i="44"/>
  <c r="V123" i="44" s="1"/>
  <c r="W123" i="44" s="1"/>
  <c r="U62" i="44"/>
  <c r="V62" i="44" s="1"/>
  <c r="W62" i="44" s="1"/>
  <c r="U118" i="44"/>
  <c r="V118" i="44" s="1"/>
  <c r="W118" i="44" s="1"/>
  <c r="U89" i="44"/>
  <c r="V89" i="44" s="1"/>
  <c r="W89" i="44" s="1"/>
  <c r="U26" i="44"/>
  <c r="V26" i="44" s="1"/>
  <c r="W26" i="44" s="1"/>
  <c r="U82" i="44"/>
  <c r="V82" i="44" s="1"/>
  <c r="W82" i="44" s="1"/>
  <c r="U132" i="44"/>
  <c r="V132" i="44" s="1"/>
  <c r="W132" i="44" s="1"/>
  <c r="U19" i="44"/>
  <c r="V19" i="44" s="1"/>
  <c r="W19" i="44" s="1"/>
  <c r="U49" i="44"/>
  <c r="V49" i="44" s="1"/>
  <c r="W49" i="44" s="1"/>
  <c r="U148" i="44"/>
  <c r="V148" i="44" s="1"/>
  <c r="W148" i="44" s="1"/>
  <c r="U108" i="44"/>
  <c r="V108" i="44" s="1"/>
  <c r="W108" i="44" s="1"/>
  <c r="U41" i="44"/>
  <c r="V41" i="44" s="1"/>
  <c r="W41" i="44" s="1"/>
  <c r="U94" i="44"/>
  <c r="V94" i="44" s="1"/>
  <c r="W94" i="44" s="1"/>
  <c r="U160" i="44"/>
  <c r="U74" i="44"/>
  <c r="V74" i="44" s="1"/>
  <c r="W74" i="44" s="1"/>
  <c r="U116" i="44"/>
  <c r="V116" i="44" s="1"/>
  <c r="W116" i="44" s="1"/>
  <c r="U63" i="44"/>
  <c r="V63" i="44" s="1"/>
  <c r="W63" i="44" s="1"/>
  <c r="U96" i="44"/>
  <c r="V96" i="44" s="1"/>
  <c r="W96" i="44" s="1"/>
  <c r="U117" i="44"/>
  <c r="V117" i="44" s="1"/>
  <c r="W117" i="44" s="1"/>
  <c r="U77" i="44"/>
  <c r="V77" i="44" s="1"/>
  <c r="W77" i="44" s="1"/>
  <c r="U129" i="44"/>
  <c r="V129" i="44" s="1"/>
  <c r="W129" i="44" s="1"/>
  <c r="U54" i="44"/>
  <c r="V54" i="44" s="1"/>
  <c r="W54" i="44" s="1"/>
  <c r="U105" i="44"/>
  <c r="V105" i="44" s="1"/>
  <c r="W105" i="44" s="1"/>
  <c r="U126" i="44"/>
  <c r="V126" i="44" s="1"/>
  <c r="W126" i="44" s="1"/>
  <c r="U58" i="44"/>
  <c r="V58" i="44" s="1"/>
  <c r="W58" i="44" s="1"/>
  <c r="U110" i="44"/>
  <c r="V110" i="44" s="1"/>
  <c r="W110" i="44" s="1"/>
  <c r="U10" i="44"/>
  <c r="V10" i="44" s="1"/>
  <c r="W10" i="44" s="1"/>
  <c r="U101" i="44"/>
  <c r="V101" i="44" s="1"/>
  <c r="W101" i="44" s="1"/>
  <c r="U134" i="44"/>
  <c r="V134" i="44" s="1"/>
  <c r="W134" i="44" s="1"/>
  <c r="U66" i="44"/>
  <c r="V66" i="44" s="1"/>
  <c r="W66" i="44" s="1"/>
  <c r="U149" i="44"/>
  <c r="V149" i="44" s="1"/>
  <c r="W149" i="44" s="1"/>
  <c r="U14" i="44"/>
  <c r="V14" i="44" s="1"/>
  <c r="W14" i="44" s="1"/>
  <c r="U29" i="44"/>
  <c r="V29" i="44" s="1"/>
  <c r="W29" i="44" s="1"/>
  <c r="U127" i="44"/>
  <c r="V127" i="44" s="1"/>
  <c r="W127" i="44" s="1"/>
  <c r="U56" i="44"/>
  <c r="V56" i="44" s="1"/>
  <c r="W56" i="44" s="1"/>
  <c r="U60" i="44"/>
  <c r="V60" i="44" s="1"/>
  <c r="W60" i="44" s="1"/>
  <c r="U143" i="44"/>
  <c r="V143" i="44" s="1"/>
  <c r="W143" i="44" s="1"/>
  <c r="U57" i="44"/>
  <c r="V57" i="44" s="1"/>
  <c r="W57" i="44" s="1"/>
  <c r="U24" i="44"/>
  <c r="V24" i="44" s="1"/>
  <c r="W24" i="44" s="1"/>
  <c r="U92" i="44"/>
  <c r="V92" i="44" s="1"/>
  <c r="W92" i="44" s="1"/>
  <c r="U102" i="44"/>
  <c r="V102" i="44" s="1"/>
  <c r="W102" i="44" s="1"/>
  <c r="U107" i="44"/>
  <c r="V107" i="44" s="1"/>
  <c r="W107" i="44" s="1"/>
  <c r="U20" i="44"/>
  <c r="V20" i="44" s="1"/>
  <c r="W20" i="44" s="1"/>
  <c r="U79" i="44"/>
  <c r="V79" i="44" s="1"/>
  <c r="W79" i="44" s="1"/>
  <c r="U86" i="44"/>
  <c r="V86" i="44" s="1"/>
  <c r="W86" i="44" s="1"/>
  <c r="U68" i="44"/>
  <c r="V68" i="44" s="1"/>
  <c r="W68" i="44" s="1"/>
  <c r="U43" i="44"/>
  <c r="V43" i="44" s="1"/>
  <c r="W43" i="44" s="1"/>
  <c r="U78" i="44"/>
  <c r="V78" i="44" s="1"/>
  <c r="W78" i="44" s="1"/>
  <c r="U30" i="44"/>
  <c r="V30" i="44" s="1"/>
  <c r="W30" i="44" s="1"/>
  <c r="U121" i="44"/>
  <c r="V121" i="44" s="1"/>
  <c r="W121" i="44" s="1"/>
  <c r="U144" i="44"/>
  <c r="V144" i="44" s="1"/>
  <c r="W144" i="44" s="1"/>
  <c r="U112" i="44"/>
  <c r="V112" i="44" s="1"/>
  <c r="W112" i="44" s="1"/>
  <c r="U111" i="44"/>
  <c r="V111" i="44" s="1"/>
  <c r="W111" i="44" s="1"/>
  <c r="U38" i="44"/>
  <c r="V38" i="44" s="1"/>
  <c r="W38" i="44" s="1"/>
  <c r="U50" i="44"/>
  <c r="V50" i="44" s="1"/>
  <c r="W50" i="44" s="1"/>
  <c r="U113" i="44"/>
  <c r="V113" i="44" s="1"/>
  <c r="W113" i="44" s="1"/>
  <c r="U109" i="44"/>
  <c r="V109" i="44" s="1"/>
  <c r="W109" i="44" s="1"/>
  <c r="U97" i="44"/>
  <c r="V97" i="44" s="1"/>
  <c r="W97" i="44" s="1"/>
  <c r="U59" i="44"/>
  <c r="V59" i="44" s="1"/>
  <c r="W59" i="44" s="1"/>
  <c r="U32" i="44"/>
  <c r="V32" i="44" s="1"/>
  <c r="W32" i="44" s="1"/>
  <c r="U128" i="44"/>
  <c r="V128" i="44" s="1"/>
  <c r="W128" i="44" s="1"/>
  <c r="U141" i="44"/>
  <c r="V141" i="44" s="1"/>
  <c r="W141" i="44" s="1"/>
  <c r="U45" i="44"/>
  <c r="V45" i="44" s="1"/>
  <c r="W45" i="44" s="1"/>
  <c r="U44" i="44"/>
  <c r="V44" i="44" s="1"/>
  <c r="W44" i="44" s="1"/>
  <c r="U40" i="44"/>
  <c r="V40" i="44" s="1"/>
  <c r="W40" i="44" s="1"/>
  <c r="U106" i="44"/>
  <c r="V106" i="44" s="1"/>
  <c r="W106" i="44" s="1"/>
  <c r="U34" i="44"/>
  <c r="V34" i="44" s="1"/>
  <c r="W34" i="44" s="1"/>
  <c r="U67" i="44"/>
  <c r="V67" i="44" s="1"/>
  <c r="W67" i="44" s="1"/>
  <c r="U93" i="44"/>
  <c r="V93" i="44" s="1"/>
  <c r="W93" i="44" s="1"/>
  <c r="U88" i="44"/>
  <c r="V88" i="44" s="1"/>
  <c r="W88" i="44" s="1"/>
  <c r="U151" i="44"/>
  <c r="V151" i="44" s="1"/>
  <c r="W151" i="44" s="1"/>
  <c r="U115" i="44"/>
  <c r="V115" i="44" s="1"/>
  <c r="W115" i="44" s="1"/>
  <c r="U48" i="44"/>
  <c r="V48" i="44" s="1"/>
  <c r="W48" i="44" s="1"/>
  <c r="U71" i="44"/>
  <c r="V71" i="44" s="1"/>
  <c r="W71" i="44" s="1"/>
  <c r="U145" i="44"/>
  <c r="V145" i="44" s="1"/>
  <c r="W145" i="44" s="1"/>
  <c r="U125" i="44"/>
  <c r="V125" i="44" s="1"/>
  <c r="W125" i="44" s="1"/>
  <c r="U130" i="44"/>
  <c r="V130" i="44" s="1"/>
  <c r="W130" i="44" s="1"/>
  <c r="U47" i="44"/>
  <c r="V47" i="44" s="1"/>
  <c r="W47" i="44" s="1"/>
  <c r="U31" i="44"/>
  <c r="V31" i="44" s="1"/>
  <c r="W31" i="44" s="1"/>
  <c r="U90" i="44"/>
  <c r="V90" i="44" s="1"/>
  <c r="W90" i="44" s="1"/>
  <c r="U61" i="44"/>
  <c r="V61" i="44" s="1"/>
  <c r="W61" i="44" s="1"/>
  <c r="U84" i="44"/>
  <c r="V84" i="44" s="1"/>
  <c r="W84" i="44" s="1"/>
  <c r="U55" i="44"/>
  <c r="V55" i="44" s="1"/>
  <c r="W55" i="44" s="1"/>
  <c r="U33" i="44"/>
  <c r="V33" i="44" s="1"/>
  <c r="W33" i="44" s="1"/>
  <c r="U147" i="44"/>
  <c r="V147" i="44" s="1"/>
  <c r="W147" i="44" s="1"/>
  <c r="U152" i="44"/>
  <c r="V152" i="44" s="1"/>
  <c r="W152" i="44" s="1"/>
  <c r="U65" i="44"/>
  <c r="V65" i="44" s="1"/>
  <c r="W65" i="44" s="1"/>
  <c r="U42" i="44"/>
  <c r="V42" i="44" s="1"/>
  <c r="W42" i="44" s="1"/>
  <c r="U11" i="44"/>
  <c r="V11" i="44" s="1"/>
  <c r="W11" i="44" s="1"/>
  <c r="U18" i="44"/>
  <c r="V18" i="44" s="1"/>
  <c r="W18" i="44" s="1"/>
  <c r="U35" i="44"/>
  <c r="V35" i="44" s="1"/>
  <c r="W35" i="44" s="1"/>
  <c r="U13" i="44"/>
  <c r="V13" i="44" s="1"/>
  <c r="W13" i="44" s="1"/>
  <c r="U87" i="44"/>
  <c r="V87" i="44" s="1"/>
  <c r="W87" i="44" s="1"/>
  <c r="U114" i="44"/>
  <c r="V114" i="44" s="1"/>
  <c r="W114" i="44" s="1"/>
  <c r="U12" i="44"/>
  <c r="V12" i="44" s="1"/>
  <c r="W12" i="44" s="1"/>
  <c r="U75" i="44"/>
  <c r="V75" i="44" s="1"/>
  <c r="W75" i="44" s="1"/>
  <c r="U21" i="44"/>
  <c r="V21" i="44" s="1"/>
  <c r="W21" i="44" s="1"/>
  <c r="U53" i="44"/>
  <c r="V53" i="44" s="1"/>
  <c r="W53" i="44" s="1"/>
  <c r="U133" i="44"/>
  <c r="V133" i="44" s="1"/>
  <c r="W133" i="44" s="1"/>
  <c r="U16" i="44"/>
  <c r="V16" i="44" s="1"/>
  <c r="W16" i="44" s="1"/>
  <c r="U137" i="44"/>
  <c r="V137" i="44" s="1"/>
  <c r="W137" i="44" s="1"/>
  <c r="U124" i="44"/>
  <c r="V124" i="44" s="1"/>
  <c r="W124" i="44" s="1"/>
  <c r="U95" i="44"/>
  <c r="V95" i="44" s="1"/>
  <c r="W95" i="44" s="1"/>
  <c r="U23" i="44"/>
  <c r="V23" i="44" s="1"/>
  <c r="W23" i="44" s="1"/>
  <c r="U52" i="44"/>
  <c r="V52" i="44" s="1"/>
  <c r="W52" i="44" s="1"/>
  <c r="U138" i="44"/>
  <c r="V138" i="44" s="1"/>
  <c r="W138" i="44" s="1"/>
  <c r="U139" i="44"/>
  <c r="V139" i="44" s="1"/>
  <c r="W139" i="44" s="1"/>
  <c r="P181" i="29"/>
  <c r="P16" i="28"/>
  <c r="P157" i="44"/>
  <c r="R16" i="43"/>
  <c r="Q157" i="44" l="1"/>
  <c r="R17" i="43"/>
  <c r="P159" i="44"/>
  <c r="P158" i="44"/>
  <c r="R180" i="29"/>
  <c r="S178" i="29"/>
  <c r="Q181" i="29"/>
  <c r="P17" i="28"/>
  <c r="S154" i="44"/>
  <c r="R156" i="44"/>
  <c r="P183" i="29"/>
  <c r="P182" i="29"/>
  <c r="U153" i="44"/>
  <c r="Q20" i="43" s="1"/>
  <c r="V8" i="44"/>
  <c r="R181" i="29" l="1"/>
  <c r="P18" i="28"/>
  <c r="W8" i="44"/>
  <c r="W153" i="44" s="1"/>
  <c r="V153" i="44"/>
  <c r="S180" i="29"/>
  <c r="T178" i="29"/>
  <c r="R157" i="44"/>
  <c r="R18" i="43"/>
  <c r="Q183" i="29"/>
  <c r="Q182" i="29"/>
  <c r="Q21" i="43"/>
  <c r="R21" i="43" s="1"/>
  <c r="T154" i="44"/>
  <c r="S156" i="44"/>
  <c r="Q159" i="44"/>
  <c r="Q158" i="44"/>
  <c r="S157" i="44" l="1"/>
  <c r="R19" i="43"/>
  <c r="R158" i="44"/>
  <c r="R159" i="44"/>
  <c r="T180" i="29"/>
  <c r="U178" i="29"/>
  <c r="U180" i="29" s="1"/>
  <c r="S181" i="29"/>
  <c r="P19" i="28"/>
  <c r="U154" i="44"/>
  <c r="U156" i="44" s="1"/>
  <c r="V156" i="44" s="1"/>
  <c r="T156" i="44"/>
  <c r="R182" i="29"/>
  <c r="R183" i="29"/>
  <c r="S183" i="29" l="1"/>
  <c r="S182" i="29"/>
  <c r="T181" i="29"/>
  <c r="P20" i="28"/>
  <c r="T157" i="44"/>
  <c r="R20" i="43"/>
  <c r="S159" i="44"/>
  <c r="S158" i="44"/>
  <c r="U181" i="29" l="1"/>
  <c r="D13" i="30"/>
  <c r="T182" i="29"/>
  <c r="T183" i="29"/>
  <c r="U157" i="44"/>
  <c r="D15" i="30"/>
  <c r="T158" i="44"/>
  <c r="T159" i="44"/>
  <c r="E17" i="30" l="1"/>
  <c r="E21" i="30" s="1"/>
  <c r="U159" i="44"/>
  <c r="U158" i="44"/>
  <c r="U182" i="29"/>
  <c r="U183" i="29"/>
</calcChain>
</file>

<file path=xl/comments1.xml><?xml version="1.0" encoding="utf-8"?>
<comments xmlns="http://schemas.openxmlformats.org/spreadsheetml/2006/main">
  <authors>
    <author>Cotterall, Pauline</author>
  </authors>
  <commentList>
    <comment ref="E19" authorId="0" shapeId="0">
      <text>
        <r>
          <rPr>
            <b/>
            <sz val="9"/>
            <color indexed="81"/>
            <rFont val="Tahoma"/>
            <family val="2"/>
          </rPr>
          <t>Cotterall, Pauline:</t>
        </r>
        <r>
          <rPr>
            <sz val="9"/>
            <color indexed="81"/>
            <rFont val="Tahoma"/>
            <family val="2"/>
          </rPr>
          <t xml:space="preserve">
after entry is uploaded
</t>
        </r>
      </text>
    </comment>
  </commentList>
</comments>
</file>

<file path=xl/comments2.xml><?xml version="1.0" encoding="utf-8"?>
<comments xmlns="http://schemas.openxmlformats.org/spreadsheetml/2006/main">
  <authors>
    <author>Awilson</author>
  </authors>
  <commentList>
    <comment ref="P8" authorId="0" shapeId="0">
      <text>
        <r>
          <rPr>
            <sz val="12"/>
            <color indexed="81"/>
            <rFont val="Tahoma"/>
            <family val="2"/>
          </rPr>
          <t xml:space="preserve">Awilson:
If Balance forward is not the same as GL number, manually keypunch it. </t>
        </r>
      </text>
    </comment>
  </commentList>
</comments>
</file>

<file path=xl/comments3.xml><?xml version="1.0" encoding="utf-8"?>
<comments xmlns="http://schemas.openxmlformats.org/spreadsheetml/2006/main">
  <authors>
    <author>Keithley, Stephainie</author>
    <author>Miley, Krisanne</author>
  </authors>
  <commentList>
    <comment ref="M108" authorId="0" shapeId="0">
      <text>
        <r>
          <rPr>
            <b/>
            <sz val="9"/>
            <color indexed="81"/>
            <rFont val="Tahoma"/>
            <family val="2"/>
          </rPr>
          <t>Keithley, Stephainie:</t>
        </r>
        <r>
          <rPr>
            <sz val="9"/>
            <color indexed="81"/>
            <rFont val="Tahoma"/>
            <family val="2"/>
          </rPr>
          <t xml:space="preserve">
Catching up amortization, this cell was blank until 4/2018</t>
        </r>
      </text>
    </comment>
    <comment ref="M132" authorId="0" shapeId="0">
      <text>
        <r>
          <rPr>
            <b/>
            <sz val="9"/>
            <color indexed="81"/>
            <rFont val="Tahoma"/>
            <family val="2"/>
          </rPr>
          <t>Keithley, Stephainie:</t>
        </r>
        <r>
          <rPr>
            <sz val="9"/>
            <color indexed="81"/>
            <rFont val="Tahoma"/>
            <family val="2"/>
          </rPr>
          <t xml:space="preserve">
Catching up amort for Apr 16 addns not amort in 2016 or 2017
</t>
        </r>
      </text>
    </comment>
    <comment ref="P158" authorId="0" shapeId="0">
      <text>
        <r>
          <rPr>
            <b/>
            <sz val="9"/>
            <color indexed="81"/>
            <rFont val="Tahoma"/>
            <family val="2"/>
          </rPr>
          <t>Keithley, Stephainie:</t>
        </r>
        <r>
          <rPr>
            <sz val="9"/>
            <color indexed="81"/>
            <rFont val="Tahoma"/>
            <family val="2"/>
          </rPr>
          <t xml:space="preserve">
date was wrong catching up June amortiation
</t>
        </r>
      </text>
    </comment>
    <comment ref="K182" authorId="1" shapeId="0">
      <text>
        <r>
          <rPr>
            <b/>
            <sz val="9"/>
            <color indexed="81"/>
            <rFont val="Tahoma"/>
            <family val="2"/>
          </rPr>
          <t>Miley, Krisanne:</t>
        </r>
        <r>
          <rPr>
            <sz val="9"/>
            <color indexed="81"/>
            <rFont val="Tahoma"/>
            <family val="2"/>
          </rPr>
          <t xml:space="preserve">
Error within the worksheet
</t>
        </r>
      </text>
    </comment>
  </commentList>
</comments>
</file>

<file path=xl/comments4.xml><?xml version="1.0" encoding="utf-8"?>
<comments xmlns="http://schemas.openxmlformats.org/spreadsheetml/2006/main">
  <authors>
    <author>Awilson</author>
  </authors>
  <commentList>
    <comment ref="R8" authorId="0" shapeId="0">
      <text>
        <r>
          <rPr>
            <b/>
            <sz val="12"/>
            <color indexed="81"/>
            <rFont val="Tahoma"/>
            <family val="2"/>
          </rPr>
          <t>Awilson:</t>
        </r>
        <r>
          <rPr>
            <sz val="12"/>
            <color indexed="81"/>
            <rFont val="Tahoma"/>
            <family val="2"/>
          </rPr>
          <t xml:space="preserve">
If Balance forward is not the same as GL number, manually keypunch it. </t>
        </r>
      </text>
    </comment>
  </commentList>
</comments>
</file>

<file path=xl/comments5.xml><?xml version="1.0" encoding="utf-8"?>
<comments xmlns="http://schemas.openxmlformats.org/spreadsheetml/2006/main">
  <authors>
    <author>jsmith</author>
    <author>Keithley, Stephainie</author>
  </authors>
  <commentList>
    <comment ref="F7" authorId="0" shapeId="0">
      <text>
        <r>
          <rPr>
            <b/>
            <sz val="8"/>
            <color indexed="81"/>
            <rFont val="Tahoma"/>
            <family val="2"/>
          </rPr>
          <t>jsmith: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6"/>
            <color indexed="81"/>
            <rFont val="Tahoma"/>
            <family val="2"/>
          </rPr>
          <t>This column changes yearly
on 1/1/**</t>
        </r>
      </text>
    </comment>
    <comment ref="P134" authorId="1" shapeId="0">
      <text>
        <r>
          <rPr>
            <b/>
            <sz val="9"/>
            <color indexed="81"/>
            <rFont val="Tahoma"/>
            <family val="2"/>
          </rPr>
          <t>Keithley, Stephainie:</t>
        </r>
        <r>
          <rPr>
            <sz val="9"/>
            <color indexed="81"/>
            <rFont val="Tahoma"/>
            <family val="2"/>
          </rPr>
          <t xml:space="preserve">
date was wrong catching up June amortiation
</t>
        </r>
      </text>
    </comment>
  </commentList>
</comments>
</file>

<file path=xl/sharedStrings.xml><?xml version="1.0" encoding="utf-8"?>
<sst xmlns="http://schemas.openxmlformats.org/spreadsheetml/2006/main" count="711" uniqueCount="207">
  <si>
    <t xml:space="preserve"> </t>
  </si>
  <si>
    <t>DATE</t>
  </si>
  <si>
    <t xml:space="preserve">TOTALS  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</si>
  <si>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</si>
  <si>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</si>
  <si>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</si>
  <si>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</si>
  <si>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</si>
  <si>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</si>
  <si>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</si>
  <si>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</si>
  <si>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</si>
  <si>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</si>
  <si>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</si>
  <si>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</si>
  <si>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MONTHLY BALANCE</t>
  </si>
  <si>
    <t>MONTHLY RATE AFTER INITIAL MONTH</t>
  </si>
  <si>
    <t>BALANCE:</t>
  </si>
  <si>
    <t>DIFFERENCE:</t>
  </si>
  <si>
    <t>Florida Public Utilities Company</t>
  </si>
  <si>
    <t>AMORTIZED THIS YEAR</t>
  </si>
  <si>
    <t>MTH.</t>
  </si>
  <si>
    <t>FIRST MONTH AMORT. (RNDG)</t>
  </si>
  <si>
    <t>TRANS (JE12)</t>
  </si>
  <si>
    <t>AMORT (JE 6)</t>
  </si>
  <si>
    <t>Monthly Amortizable Addition</t>
  </si>
  <si>
    <t>MISC. (OTHER) DESCRIPTION</t>
  </si>
  <si>
    <t>121.1860.31 -  WPB - AMORTIZE PIPING COSTS</t>
  </si>
  <si>
    <t>7 YEAR AMORTIZATION -- (84 MONTHS)</t>
  </si>
  <si>
    <t>7 YEARS ENDED</t>
  </si>
  <si>
    <t>BEG  BAL AMORT OVER 7 YRS</t>
  </si>
  <si>
    <t>EXPLANATION:</t>
  </si>
  <si>
    <t>Y-T-D ADDITIONS</t>
  </si>
  <si>
    <t>Y-T-D AMORT</t>
  </si>
  <si>
    <t>JE2</t>
  </si>
  <si>
    <t>BALANCE SHOULD BE:</t>
  </si>
  <si>
    <t>Description</t>
  </si>
  <si>
    <t>Total</t>
  </si>
  <si>
    <t>JE 2</t>
  </si>
  <si>
    <t>Errors:</t>
  </si>
  <si>
    <t>CASH RECEIPTS (JE11)</t>
  </si>
  <si>
    <t>PAYROLL (JE4) &amp; (JE9)</t>
  </si>
  <si>
    <t>(note for row #5 highlighted:  old titles in parenthesis)</t>
  </si>
  <si>
    <t>Prior Month Accrual Reversals</t>
  </si>
  <si>
    <t>FN41-00000-1773-1860</t>
  </si>
  <si>
    <t>Ref Code:  FN41PIPE</t>
  </si>
  <si>
    <t>FN43-00000-1773-1860</t>
  </si>
  <si>
    <t>E4SE</t>
  </si>
  <si>
    <t>AA</t>
  </si>
  <si>
    <t>AP-ACCR</t>
  </si>
  <si>
    <t xml:space="preserve"> G/L BALANCE:</t>
  </si>
  <si>
    <t>FN43CONV</t>
  </si>
  <si>
    <t>FN41CONV</t>
  </si>
  <si>
    <t>GL</t>
  </si>
  <si>
    <t>Variance</t>
  </si>
  <si>
    <t>FN4_-00000-1773-1860</t>
  </si>
  <si>
    <t>Prepared By</t>
  </si>
  <si>
    <t>Approved by</t>
  </si>
  <si>
    <t xml:space="preserve">Period Ending: </t>
  </si>
  <si>
    <t>RV</t>
  </si>
  <si>
    <t>Journal_Type</t>
  </si>
  <si>
    <t>Originating_Org</t>
  </si>
  <si>
    <t>Journal_Number</t>
  </si>
  <si>
    <t>Account_Code</t>
  </si>
  <si>
    <t>Seg1_Code</t>
  </si>
  <si>
    <t>Seg2_Code</t>
  </si>
  <si>
    <t>Seg3_Code</t>
  </si>
  <si>
    <t>Seg4_Code</t>
  </si>
  <si>
    <t>Reference_Code</t>
  </si>
  <si>
    <t>Amount</t>
  </si>
  <si>
    <t>Vendor_Name</t>
  </si>
  <si>
    <t>Document_1</t>
  </si>
  <si>
    <t>Document_2</t>
  </si>
  <si>
    <t>Apply_Date</t>
  </si>
  <si>
    <t>Posted_Date</t>
  </si>
  <si>
    <t>Posted_Status</t>
  </si>
  <si>
    <t>SYS-AP</t>
  </si>
  <si>
    <t>FC00</t>
  </si>
  <si>
    <t>00000</t>
  </si>
  <si>
    <t>1773</t>
  </si>
  <si>
    <t>1860</t>
  </si>
  <si>
    <t>Yes</t>
  </si>
  <si>
    <t>FN00</t>
  </si>
  <si>
    <t>FN43</t>
  </si>
  <si>
    <t>Grand Total</t>
  </si>
  <si>
    <t>Sum of Amount</t>
  </si>
  <si>
    <t xml:space="preserve">JE 2 </t>
  </si>
  <si>
    <t>Amount not included in Prior Month</t>
  </si>
  <si>
    <t>Initials</t>
  </si>
  <si>
    <t>Date</t>
  </si>
  <si>
    <t>Natural Gas</t>
  </si>
  <si>
    <t>Unrecovered Piping &amp; Conversion</t>
  </si>
  <si>
    <t>AMORTIZE PIPING COSTS - WPB</t>
  </si>
  <si>
    <t xml:space="preserve"> MERCH (JE 32)</t>
  </si>
  <si>
    <t>MERCHANDISE (JE8)</t>
  </si>
  <si>
    <t>PL ACCRUALS (JE3)</t>
  </si>
  <si>
    <t>AP Accrual</t>
  </si>
  <si>
    <t>Customer Contributions</t>
  </si>
  <si>
    <t>121.1860.32 -  WPB - AMORTIZE CONVERSION COSTS</t>
  </si>
  <si>
    <t>THIS MONTH</t>
  </si>
  <si>
    <t>5 YEARS ENDED</t>
  </si>
  <si>
    <t>BEG  BAL AMORT OVER 5 YRS</t>
  </si>
  <si>
    <t>5 YEAR AMORTIZATION -- (60 MONTHS)</t>
  </si>
  <si>
    <t>121.1860.32  AMORTIZE CONVERSION COSTS - WPB</t>
  </si>
  <si>
    <t>FN41</t>
  </si>
  <si>
    <t>Period Ending:</t>
  </si>
  <si>
    <t>Account Balance per worksheet</t>
  </si>
  <si>
    <t>Remaining Months @ 1/1/12</t>
  </si>
  <si>
    <t>Remaining Months @ 1/1/13</t>
  </si>
  <si>
    <t>Check 
Beginning to End</t>
  </si>
  <si>
    <t>FN__-00000-1773-1860</t>
  </si>
  <si>
    <t>Ref Code:  FN__PIPE</t>
  </si>
  <si>
    <t>FN__PIPE</t>
  </si>
  <si>
    <t>Ref Code:  FN__CONV</t>
  </si>
  <si>
    <t>FN__CONV</t>
  </si>
  <si>
    <t>Reference</t>
  </si>
  <si>
    <t>CONV</t>
  </si>
  <si>
    <t>FN00PIPE</t>
  </si>
  <si>
    <t>GAS PLUMBING SERVICES INC</t>
  </si>
  <si>
    <t>FN43PIPE</t>
  </si>
  <si>
    <t>FN00-00000-1773-1860</t>
  </si>
  <si>
    <t>PIPE</t>
  </si>
  <si>
    <t>AP-Pcard</t>
  </si>
  <si>
    <t>AP Pcard</t>
  </si>
  <si>
    <t>BLACKHAWK ENGAGEMENT SOLUTIONS INC</t>
  </si>
  <si>
    <t>CONV Total</t>
  </si>
  <si>
    <t>PIPE Total</t>
  </si>
  <si>
    <t>Total from Epicor Screenshot</t>
  </si>
  <si>
    <t>Difference/Check</t>
  </si>
  <si>
    <t>REMAINING BAL AS OF 12/31/19</t>
  </si>
  <si>
    <t>WPB MISC DEF DEB-CONVERSION TANKLESS WH</t>
  </si>
  <si>
    <t>CEN NEW RES - PIPING CONVERSION ALLO</t>
  </si>
  <si>
    <t>Epicor Search Criteria</t>
  </si>
  <si>
    <t>Seg 1</t>
  </si>
  <si>
    <t>Seg 2</t>
  </si>
  <si>
    <t>Seg 3</t>
  </si>
  <si>
    <t>Seg 4</t>
  </si>
  <si>
    <t>Blank</t>
  </si>
  <si>
    <t>FN__</t>
  </si>
  <si>
    <t>SCC</t>
  </si>
  <si>
    <t>CEN MISC DEF DEBIT-CONV TANKLESS WH</t>
  </si>
  <si>
    <t>12/31/20 BAL FORWARD &gt; &gt; &gt;</t>
  </si>
  <si>
    <t>REMAINING BAL AS OF 12/31/21</t>
  </si>
  <si>
    <t>Remaining BAL AS OF 1/1/21</t>
  </si>
  <si>
    <t>REMAINING BAL AS OF 1/1/21</t>
  </si>
  <si>
    <t>When rolling in 2022, removed penny</t>
  </si>
  <si>
    <t>NEW CONST APPL CONNECT</t>
  </si>
  <si>
    <t>Accrue - GAS PLUMBING SERVICES INC</t>
  </si>
  <si>
    <t>FN41PIPE</t>
  </si>
  <si>
    <t/>
  </si>
  <si>
    <t>JRNL00546710</t>
  </si>
  <si>
    <t>76548</t>
  </si>
  <si>
    <t>76491</t>
  </si>
  <si>
    <t>76492</t>
  </si>
  <si>
    <t>76549</t>
  </si>
  <si>
    <t>76572</t>
  </si>
  <si>
    <t>76573</t>
  </si>
  <si>
    <t>76594</t>
  </si>
  <si>
    <t>JRNL00546697</t>
  </si>
  <si>
    <t>VO890820</t>
  </si>
  <si>
    <t>VO890826</t>
  </si>
  <si>
    <t>VO890827</t>
  </si>
  <si>
    <t>VO890828</t>
  </si>
  <si>
    <t>VO890829</t>
  </si>
  <si>
    <t>VO890830</t>
  </si>
  <si>
    <t>VO890831</t>
  </si>
  <si>
    <t>JRNL00546753</t>
  </si>
  <si>
    <t>JRNL00547437</t>
  </si>
  <si>
    <t>11/29/2021 - 12/05/2021</t>
  </si>
  <si>
    <t>2021026206</t>
  </si>
  <si>
    <t>VO892673</t>
  </si>
  <si>
    <t>76641</t>
  </si>
  <si>
    <t>VO892700</t>
  </si>
  <si>
    <t>76681</t>
  </si>
  <si>
    <t>VO892701</t>
  </si>
  <si>
    <t>76741</t>
  </si>
  <si>
    <t>VO892716</t>
  </si>
  <si>
    <t>76742</t>
  </si>
  <si>
    <t>VO892717</t>
  </si>
  <si>
    <t>76739</t>
  </si>
  <si>
    <t>VO892718</t>
  </si>
  <si>
    <t>76743</t>
  </si>
  <si>
    <t>VO892719</t>
  </si>
  <si>
    <t>76744</t>
  </si>
  <si>
    <t>VO892720</t>
  </si>
  <si>
    <t>76653</t>
  </si>
  <si>
    <t>VO892721</t>
  </si>
  <si>
    <t>76738</t>
  </si>
  <si>
    <t>VO892722</t>
  </si>
  <si>
    <t>76642</t>
  </si>
  <si>
    <t>VO892723</t>
  </si>
  <si>
    <t>76719</t>
  </si>
  <si>
    <t>VO892724</t>
  </si>
  <si>
    <t>76737</t>
  </si>
  <si>
    <t>VO892725</t>
  </si>
  <si>
    <t>76740</t>
  </si>
  <si>
    <t>VO892726</t>
  </si>
  <si>
    <t>76736</t>
  </si>
  <si>
    <t>VO892727</t>
  </si>
  <si>
    <t>JRNL00547825</t>
  </si>
  <si>
    <t>12/06/2021 - 12/12/2021</t>
  </si>
  <si>
    <t>2021026826</t>
  </si>
  <si>
    <t>VO895361</t>
  </si>
  <si>
    <t>12/13/2021 - 12/19/2021</t>
  </si>
  <si>
    <t>2021027418</t>
  </si>
  <si>
    <t>VO895362</t>
  </si>
  <si>
    <t>JRNL00548272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</si>
</sst>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.00_);_(* \(#,##0.00\);_(* &quot;.00&quot;_);_(@_)"/>
    <numFmt numFmtId="166" formatCode="m/yy"/>
    <numFmt numFmtId="167" formatCode="[$-409]mmmm\ d\,\ yyyy;@"/>
    <numFmt numFmtId="168" formatCode="#,##0.00;[Red]\-#,##0.00"/>
    <numFmt numFmtId="169" formatCode="mm/dd/yy;@"/>
  </numFmts>
  <fonts count="72">
    <font>
      <sz val="12"/>
      <name val="Arial MT"/>
    </font>
    <font>
      <sz val="10"/>
      <name val="Arial"/>
    </font>
    <font>
      <sz val="10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 MT"/>
    </font>
    <font>
      <sz val="14"/>
      <name val="Arial"/>
      <family val="2"/>
    </font>
    <font>
      <sz val="10"/>
      <name val="Arial MT"/>
    </font>
    <font>
      <sz val="6"/>
      <name val="Arial"/>
      <family val="2"/>
    </font>
    <font>
      <b/>
      <sz val="10"/>
      <name val="Arial MT"/>
    </font>
    <font>
      <b/>
      <u val="singleAccounting"/>
      <sz val="10"/>
      <name val="Arial"/>
      <family val="2"/>
    </font>
    <font>
      <b/>
      <sz val="12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6"/>
      <color indexed="81"/>
      <name val="Tahoma"/>
      <family val="2"/>
    </font>
    <font>
      <b/>
      <sz val="9"/>
      <color indexed="8"/>
      <name val="Arial"/>
      <family val="2"/>
    </font>
    <font>
      <sz val="9"/>
      <name val="Arial MT"/>
    </font>
    <font>
      <b/>
      <sz val="12"/>
      <color indexed="81"/>
      <name val="Tahoma"/>
      <family val="2"/>
    </font>
    <font>
      <b/>
      <sz val="12"/>
      <name val="Arial MT"/>
    </font>
    <font>
      <b/>
      <u/>
      <sz val="12"/>
      <name val="Arial MT"/>
    </font>
    <font>
      <sz val="12"/>
      <color indexed="81"/>
      <name val="Tahoma"/>
      <family val="2"/>
    </font>
    <font>
      <b/>
      <sz val="10"/>
      <color indexed="12"/>
      <name val="Arial"/>
      <family val="2"/>
    </font>
    <font>
      <b/>
      <u/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sz val="10"/>
      <color indexed="10"/>
      <name val="Arial MT"/>
    </font>
    <font>
      <sz val="12"/>
      <color indexed="10"/>
      <name val="Arial MT"/>
    </font>
    <font>
      <b/>
      <sz val="14"/>
      <color indexed="30"/>
      <name val="Calibri"/>
      <family val="2"/>
    </font>
    <font>
      <b/>
      <u/>
      <sz val="12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2"/>
      <name val="Arial"/>
      <family val="2"/>
    </font>
    <font>
      <b/>
      <sz val="16"/>
      <color indexed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sz val="11"/>
      <name val="Arial MT"/>
    </font>
    <font>
      <b/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indexed="10"/>
      <name val="Arial MT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0000FF"/>
      <name val="Arial MT"/>
    </font>
    <font>
      <b/>
      <sz val="10"/>
      <color rgb="FF0000FF"/>
      <name val="Arial MT"/>
    </font>
    <font>
      <b/>
      <sz val="14"/>
      <color rgb="FFC00000"/>
      <name val="Arial MT"/>
    </font>
    <font>
      <b/>
      <sz val="12"/>
      <color rgb="FFC00000"/>
      <name val="Arial"/>
      <family val="2"/>
    </font>
    <font>
      <b/>
      <sz val="12"/>
      <color rgb="FF0000FF"/>
      <name val="Arial"/>
      <family val="2"/>
    </font>
    <font>
      <b/>
      <sz val="10"/>
      <color rgb="FFC00000"/>
      <name val="Arial"/>
      <family val="2"/>
    </font>
    <font>
      <b/>
      <sz val="11"/>
      <color rgb="FFC00000"/>
      <name val="Arial"/>
      <family val="2"/>
    </font>
    <font>
      <sz val="10"/>
      <color rgb="FFC00000"/>
      <name val="Arial"/>
      <family val="2"/>
    </font>
    <font>
      <sz val="12"/>
      <color rgb="FFC00000"/>
      <name val="Arial"/>
      <family val="2"/>
    </font>
    <font>
      <b/>
      <sz val="12"/>
      <color rgb="FF00B050"/>
      <name val="Arial MT"/>
    </font>
    <font>
      <b/>
      <sz val="12"/>
      <color rgb="FF0070C0"/>
      <name val="Arial MT"/>
    </font>
    <font>
      <b/>
      <sz val="11"/>
      <color rgb="FF0000FF"/>
      <name val="Arial"/>
      <family val="2"/>
    </font>
    <font>
      <b/>
      <sz val="10"/>
      <color theme="0"/>
      <name val="Arial"/>
      <family val="2"/>
    </font>
    <font>
      <sz val="12"/>
      <color rgb="FF0000FF"/>
      <name val="Arial"/>
      <family val="2"/>
    </font>
    <font>
      <sz val="11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indexed="9"/>
      </top>
      <bottom/>
      <diagonal/>
    </border>
    <border>
      <left style="thin">
        <color indexed="9"/>
      </left>
      <right/>
      <top style="thin">
        <color rgb="FF999999"/>
      </top>
      <bottom style="thin">
        <color rgb="FF999999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2" fillId="0" borderId="0"/>
    <xf numFmtId="0" fontId="1" fillId="0" borderId="0"/>
    <xf numFmtId="0" fontId="2" fillId="0" borderId="0"/>
    <xf numFmtId="0" fontId="52" fillId="0" borderId="0"/>
    <xf numFmtId="0" fontId="52" fillId="0" borderId="0"/>
  </cellStyleXfs>
  <cellXfs count="496">
    <xf numFmtId="0" fontId="0" fillId="0" borderId="0" xfId="0"/>
    <xf numFmtId="0" fontId="3" fillId="0" borderId="0" xfId="0" applyFont="1" applyAlignment="1" applyProtection="1">
      <alignment horizontal="centerContinuous"/>
    </xf>
    <xf numFmtId="0" fontId="4" fillId="0" borderId="0" xfId="0" applyFont="1"/>
    <xf numFmtId="0" fontId="3" fillId="0" borderId="0" xfId="0" applyFont="1" applyAlignment="1" applyProtection="1">
      <alignment horizontal="center"/>
    </xf>
    <xf numFmtId="39" fontId="3" fillId="0" borderId="0" xfId="0" applyNumberFormat="1" applyFont="1" applyAlignment="1" applyProtection="1">
      <alignment horizontal="right"/>
    </xf>
    <xf numFmtId="39" fontId="3" fillId="0" borderId="0" xfId="0" applyNumberFormat="1" applyFont="1" applyAlignment="1" applyProtection="1">
      <alignment horizontal="center"/>
    </xf>
    <xf numFmtId="43" fontId="3" fillId="0" borderId="0" xfId="0" applyNumberFormat="1" applyFont="1" applyBorder="1" applyAlignment="1" applyProtection="1">
      <alignment horizontal="right" vertical="center"/>
    </xf>
    <xf numFmtId="43" fontId="10" fillId="0" borderId="0" xfId="1" applyFont="1" applyFill="1" applyAlignment="1">
      <alignment horizontal="right"/>
    </xf>
    <xf numFmtId="43" fontId="10" fillId="0" borderId="0" xfId="1" applyFont="1" applyFill="1" applyAlignment="1"/>
    <xf numFmtId="43" fontId="10" fillId="0" borderId="0" xfId="1" applyFont="1" applyFill="1" applyBorder="1" applyAlignment="1"/>
    <xf numFmtId="43" fontId="10" fillId="0" borderId="0" xfId="1" applyFont="1" applyFill="1" applyAlignment="1">
      <alignment horizontal="center"/>
    </xf>
    <xf numFmtId="17" fontId="11" fillId="0" borderId="0" xfId="5" quotePrefix="1" applyNumberFormat="1" applyFont="1" applyFill="1" applyAlignment="1" applyProtection="1">
      <alignment horizontal="center"/>
    </xf>
    <xf numFmtId="165" fontId="11" fillId="0" borderId="1" xfId="1" applyNumberFormat="1" applyFont="1" applyFill="1" applyBorder="1" applyAlignment="1" applyProtection="1"/>
    <xf numFmtId="165" fontId="11" fillId="0" borderId="0" xfId="1" applyNumberFormat="1" applyFont="1" applyFill="1" applyAlignment="1" applyProtection="1">
      <alignment horizontal="center"/>
    </xf>
    <xf numFmtId="43" fontId="10" fillId="0" borderId="2" xfId="1" applyFont="1" applyFill="1" applyBorder="1" applyAlignment="1" applyProtection="1">
      <alignment horizontal="right"/>
    </xf>
    <xf numFmtId="43" fontId="10" fillId="0" borderId="0" xfId="1" applyFont="1" applyFill="1" applyAlignment="1" applyProtection="1">
      <alignment horizontal="centerContinuous"/>
    </xf>
    <xf numFmtId="17" fontId="10" fillId="0" borderId="0" xfId="5" quotePrefix="1" applyNumberFormat="1" applyFont="1" applyFill="1" applyAlignment="1" applyProtection="1">
      <alignment horizontal="center"/>
    </xf>
    <xf numFmtId="43" fontId="10" fillId="0" borderId="0" xfId="1" applyFont="1" applyFill="1" applyAlignment="1" applyProtection="1">
      <alignment horizontal="center"/>
    </xf>
    <xf numFmtId="165" fontId="10" fillId="0" borderId="2" xfId="5" applyNumberFormat="1" applyFont="1" applyFill="1" applyBorder="1" applyAlignment="1" applyProtection="1">
      <alignment horizontal="center" wrapText="1"/>
    </xf>
    <xf numFmtId="165" fontId="10" fillId="0" borderId="0" xfId="5" applyNumberFormat="1" applyFont="1" applyFill="1" applyBorder="1" applyAlignment="1" applyProtection="1">
      <alignment horizontal="center" wrapText="1"/>
    </xf>
    <xf numFmtId="43" fontId="3" fillId="0" borderId="0" xfId="0" applyNumberFormat="1" applyFont="1" applyBorder="1" applyAlignment="1" applyProtection="1">
      <alignment horizontal="center" vertical="center"/>
    </xf>
    <xf numFmtId="0" fontId="14" fillId="0" borderId="0" xfId="0" applyFont="1"/>
    <xf numFmtId="0" fontId="10" fillId="0" borderId="3" xfId="5" applyFont="1" applyFill="1" applyBorder="1" applyAlignment="1" applyProtection="1">
      <alignment horizontal="center" wrapText="1"/>
    </xf>
    <xf numFmtId="43" fontId="11" fillId="0" borderId="0" xfId="1" applyFont="1" applyFill="1" applyAlignment="1"/>
    <xf numFmtId="43" fontId="11" fillId="0" borderId="0" xfId="5" applyNumberFormat="1" applyFont="1" applyFill="1" applyBorder="1" applyAlignment="1" applyProtection="1">
      <alignment horizontal="center" wrapText="1"/>
    </xf>
    <xf numFmtId="43" fontId="11" fillId="0" borderId="0" xfId="1" applyNumberFormat="1" applyFont="1" applyFill="1" applyAlignment="1" applyProtection="1">
      <alignment horizontal="center"/>
    </xf>
    <xf numFmtId="43" fontId="15" fillId="0" borderId="0" xfId="5" applyNumberFormat="1" applyFont="1" applyFill="1" applyBorder="1" applyAlignment="1" applyProtection="1">
      <alignment horizontal="center" wrapText="1"/>
    </xf>
    <xf numFmtId="43" fontId="5" fillId="0" borderId="0" xfId="1" applyFont="1" applyFill="1" applyAlignment="1" applyProtection="1">
      <alignment horizontal="center"/>
    </xf>
    <xf numFmtId="43" fontId="11" fillId="0" borderId="0" xfId="1" applyFont="1" applyFill="1" applyAlignment="1">
      <alignment horizontal="center"/>
    </xf>
    <xf numFmtId="43" fontId="11" fillId="0" borderId="0" xfId="1" applyFont="1" applyFill="1" applyBorder="1" applyAlignment="1"/>
    <xf numFmtId="43" fontId="11" fillId="0" borderId="1" xfId="1" applyFont="1" applyFill="1" applyBorder="1" applyAlignment="1"/>
    <xf numFmtId="43" fontId="10" fillId="0" borderId="1" xfId="1" applyFont="1" applyFill="1" applyBorder="1" applyAlignment="1"/>
    <xf numFmtId="43" fontId="7" fillId="0" borderId="1" xfId="1" applyFont="1" applyFill="1" applyBorder="1" applyAlignment="1" applyProtection="1"/>
    <xf numFmtId="43" fontId="11" fillId="0" borderId="4" xfId="1" applyFont="1" applyFill="1" applyBorder="1" applyAlignment="1"/>
    <xf numFmtId="17" fontId="11" fillId="0" borderId="0" xfId="5" quotePrefix="1" applyNumberFormat="1" applyFont="1" applyFill="1" applyBorder="1" applyAlignment="1" applyProtection="1">
      <alignment horizontal="center"/>
    </xf>
    <xf numFmtId="43" fontId="11" fillId="0" borderId="0" xfId="1" applyNumberFormat="1" applyFont="1" applyFill="1" applyBorder="1" applyAlignment="1" applyProtection="1">
      <alignment horizontal="center"/>
    </xf>
    <xf numFmtId="43" fontId="0" fillId="0" borderId="0" xfId="0" applyNumberFormat="1"/>
    <xf numFmtId="43" fontId="10" fillId="0" borderId="0" xfId="5" quotePrefix="1" applyNumberFormat="1" applyFont="1" applyFill="1" applyAlignment="1" applyProtection="1">
      <alignment horizontal="center"/>
    </xf>
    <xf numFmtId="0" fontId="23" fillId="0" borderId="0" xfId="0" applyFont="1" applyAlignment="1">
      <alignment wrapText="1"/>
    </xf>
    <xf numFmtId="43" fontId="3" fillId="2" borderId="0" xfId="0" applyNumberFormat="1" applyFont="1" applyFill="1" applyBorder="1" applyAlignment="1" applyProtection="1">
      <alignment horizontal="right" vertical="center"/>
    </xf>
    <xf numFmtId="0" fontId="22" fillId="0" borderId="5" xfId="0" applyFont="1" applyBorder="1" applyAlignment="1" applyProtection="1">
      <alignment horizontal="center" wrapText="1"/>
    </xf>
    <xf numFmtId="0" fontId="22" fillId="0" borderId="2" xfId="0" applyFont="1" applyBorder="1" applyAlignment="1" applyProtection="1">
      <alignment horizontal="center" wrapText="1"/>
    </xf>
    <xf numFmtId="0" fontId="22" fillId="0" borderId="6" xfId="0" applyFont="1" applyBorder="1" applyAlignment="1" applyProtection="1">
      <alignment horizontal="center" wrapText="1"/>
    </xf>
    <xf numFmtId="43" fontId="3" fillId="0" borderId="0" xfId="0" applyNumberFormat="1" applyFont="1" applyBorder="1" applyAlignment="1" applyProtection="1">
      <alignment vertical="center"/>
    </xf>
    <xf numFmtId="164" fontId="8" fillId="2" borderId="7" xfId="0" applyNumberFormat="1" applyFont="1" applyFill="1" applyBorder="1" applyAlignment="1" applyProtection="1">
      <alignment horizontal="center" vertical="center"/>
    </xf>
    <xf numFmtId="43" fontId="3" fillId="2" borderId="0" xfId="0" applyNumberFormat="1" applyFont="1" applyFill="1" applyBorder="1" applyAlignment="1" applyProtection="1">
      <alignment horizontal="center" vertical="center"/>
    </xf>
    <xf numFmtId="43" fontId="3" fillId="2" borderId="8" xfId="0" applyNumberFormat="1" applyFont="1" applyFill="1" applyBorder="1" applyAlignment="1" applyProtection="1">
      <alignment horizontal="right" vertical="center"/>
    </xf>
    <xf numFmtId="164" fontId="8" fillId="0" borderId="7" xfId="0" applyNumberFormat="1" applyFont="1" applyBorder="1" applyAlignment="1" applyProtection="1">
      <alignment horizontal="center" vertical="center"/>
    </xf>
    <xf numFmtId="43" fontId="3" fillId="0" borderId="8" xfId="0" applyNumberFormat="1" applyFont="1" applyBorder="1" applyAlignment="1" applyProtection="1">
      <alignment horizontal="right" vertical="center"/>
    </xf>
    <xf numFmtId="43" fontId="3" fillId="0" borderId="8" xfId="0" applyNumberFormat="1" applyFont="1" applyFill="1" applyBorder="1" applyAlignment="1" applyProtection="1">
      <alignment horizontal="right" vertical="center"/>
    </xf>
    <xf numFmtId="0" fontId="7" fillId="0" borderId="9" xfId="0" applyFont="1" applyBorder="1" applyAlignment="1" applyProtection="1">
      <alignment horizontal="right" vertical="center"/>
    </xf>
    <xf numFmtId="43" fontId="7" fillId="0" borderId="10" xfId="0" applyNumberFormat="1" applyFont="1" applyBorder="1" applyAlignment="1" applyProtection="1">
      <alignment horizontal="right" vertical="center"/>
    </xf>
    <xf numFmtId="43" fontId="7" fillId="0" borderId="11" xfId="0" applyNumberFormat="1" applyFont="1" applyBorder="1" applyAlignment="1" applyProtection="1">
      <alignment horizontal="right" vertical="center"/>
    </xf>
    <xf numFmtId="0" fontId="10" fillId="0" borderId="12" xfId="5" applyFont="1" applyFill="1" applyBorder="1" applyAlignment="1" applyProtection="1">
      <alignment horizontal="center" wrapText="1"/>
    </xf>
    <xf numFmtId="0" fontId="10" fillId="0" borderId="13" xfId="5" applyFont="1" applyFill="1" applyBorder="1" applyAlignment="1" applyProtection="1">
      <alignment horizontal="center" wrapText="1"/>
    </xf>
    <xf numFmtId="0" fontId="11" fillId="0" borderId="0" xfId="0" applyFont="1"/>
    <xf numFmtId="0" fontId="10" fillId="0" borderId="0" xfId="0" applyFont="1" applyAlignment="1"/>
    <xf numFmtId="0" fontId="16" fillId="0" borderId="0" xfId="0" applyFont="1" applyAlignment="1"/>
    <xf numFmtId="43" fontId="3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165" fontId="11" fillId="0" borderId="0" xfId="1" applyNumberFormat="1" applyFont="1" applyFill="1" applyBorder="1" applyAlignment="1" applyProtection="1">
      <alignment horizontal="center"/>
    </xf>
    <xf numFmtId="0" fontId="25" fillId="0" borderId="0" xfId="0" applyFont="1"/>
    <xf numFmtId="0" fontId="26" fillId="0" borderId="0" xfId="0" applyFont="1"/>
    <xf numFmtId="43" fontId="28" fillId="0" borderId="14" xfId="1" applyFont="1" applyFill="1" applyBorder="1" applyAlignment="1"/>
    <xf numFmtId="43" fontId="18" fillId="0" borderId="0" xfId="0" applyNumberFormat="1" applyFont="1" applyBorder="1" applyAlignment="1" applyProtection="1">
      <alignment horizontal="right" vertical="center"/>
    </xf>
    <xf numFmtId="0" fontId="31" fillId="0" borderId="13" xfId="5" applyFont="1" applyFill="1" applyBorder="1" applyAlignment="1" applyProtection="1">
      <alignment horizontal="center" wrapText="1"/>
    </xf>
    <xf numFmtId="43" fontId="32" fillId="0" borderId="0" xfId="1" applyFont="1" applyFill="1" applyAlignment="1"/>
    <xf numFmtId="43" fontId="31" fillId="0" borderId="0" xfId="1" applyFont="1" applyFill="1" applyBorder="1" applyAlignment="1"/>
    <xf numFmtId="0" fontId="35" fillId="0" borderId="0" xfId="0" applyFont="1"/>
    <xf numFmtId="0" fontId="2" fillId="0" borderId="0" xfId="0" applyFont="1"/>
    <xf numFmtId="0" fontId="16" fillId="0" borderId="0" xfId="0" applyFont="1"/>
    <xf numFmtId="0" fontId="10" fillId="0" borderId="0" xfId="0" applyFont="1" applyBorder="1"/>
    <xf numFmtId="0" fontId="22" fillId="3" borderId="2" xfId="0" applyFont="1" applyFill="1" applyBorder="1" applyAlignment="1" applyProtection="1">
      <alignment horizontal="center" wrapText="1"/>
    </xf>
    <xf numFmtId="2" fontId="10" fillId="0" borderId="0" xfId="1" applyNumberFormat="1" applyFont="1" applyFill="1" applyBorder="1" applyAlignment="1"/>
    <xf numFmtId="44" fontId="14" fillId="0" borderId="0" xfId="3" applyFont="1"/>
    <xf numFmtId="44" fontId="14" fillId="0" borderId="2" xfId="3" applyFont="1" applyBorder="1"/>
    <xf numFmtId="0" fontId="16" fillId="0" borderId="0" xfId="0" applyFont="1" applyAlignment="1">
      <alignment horizontal="left"/>
    </xf>
    <xf numFmtId="0" fontId="4" fillId="0" borderId="0" xfId="5" applyFont="1" applyFill="1"/>
    <xf numFmtId="0" fontId="26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2" fillId="0" borderId="0" xfId="0" applyFont="1"/>
    <xf numFmtId="43" fontId="18" fillId="0" borderId="5" xfId="0" applyNumberFormat="1" applyFont="1" applyBorder="1" applyAlignment="1" applyProtection="1">
      <alignment horizontal="right" vertical="center"/>
    </xf>
    <xf numFmtId="43" fontId="18" fillId="0" borderId="2" xfId="0" applyNumberFormat="1" applyFont="1" applyBorder="1" applyAlignment="1" applyProtection="1">
      <alignment horizontal="right" vertical="center"/>
    </xf>
    <xf numFmtId="0" fontId="18" fillId="0" borderId="0" xfId="0" applyFont="1" applyAlignment="1" applyProtection="1">
      <alignment horizontal="right" vertical="center"/>
    </xf>
    <xf numFmtId="43" fontId="3" fillId="0" borderId="7" xfId="0" applyNumberFormat="1" applyFont="1" applyBorder="1" applyAlignment="1" applyProtection="1">
      <alignment horizontal="right" vertical="center"/>
    </xf>
    <xf numFmtId="43" fontId="3" fillId="0" borderId="0" xfId="0" applyNumberFormat="1" applyFont="1" applyAlignment="1" applyProtection="1">
      <alignment horizontal="center" vertical="center"/>
    </xf>
    <xf numFmtId="164" fontId="37" fillId="0" borderId="0" xfId="0" applyNumberFormat="1" applyFont="1" applyAlignment="1" applyProtection="1">
      <alignment horizontal="center" vertical="center"/>
    </xf>
    <xf numFmtId="43" fontId="3" fillId="2" borderId="7" xfId="0" applyNumberFormat="1" applyFont="1" applyFill="1" applyBorder="1" applyAlignment="1" applyProtection="1">
      <alignment horizontal="right" vertical="center"/>
    </xf>
    <xf numFmtId="43" fontId="3" fillId="2" borderId="0" xfId="0" applyNumberFormat="1" applyFont="1" applyFill="1" applyAlignment="1" applyProtection="1">
      <alignment horizontal="center" vertical="center"/>
    </xf>
    <xf numFmtId="164" fontId="37" fillId="2" borderId="0" xfId="0" applyNumberFormat="1" applyFont="1" applyFill="1" applyAlignment="1" applyProtection="1">
      <alignment horizontal="center" vertical="center"/>
    </xf>
    <xf numFmtId="43" fontId="3" fillId="0" borderId="0" xfId="0" applyNumberFormat="1" applyFont="1" applyAlignment="1" applyProtection="1">
      <alignment vertical="center"/>
    </xf>
    <xf numFmtId="0" fontId="7" fillId="0" borderId="15" xfId="0" applyFont="1" applyBorder="1" applyAlignment="1" applyProtection="1">
      <alignment horizontal="center" wrapText="1"/>
    </xf>
    <xf numFmtId="0" fontId="7" fillId="0" borderId="4" xfId="0" applyFont="1" applyBorder="1" applyAlignment="1" applyProtection="1">
      <alignment horizontal="center" wrapText="1"/>
    </xf>
    <xf numFmtId="2" fontId="0" fillId="0" borderId="0" xfId="0" applyNumberFormat="1"/>
    <xf numFmtId="165" fontId="2" fillId="0" borderId="0" xfId="6" applyNumberFormat="1" applyFont="1" applyFill="1"/>
    <xf numFmtId="0" fontId="2" fillId="0" borderId="0" xfId="6" applyFont="1" applyFill="1"/>
    <xf numFmtId="2" fontId="2" fillId="0" borderId="0" xfId="6" quotePrefix="1" applyNumberFormat="1" applyFont="1" applyFill="1" applyAlignment="1" applyProtection="1">
      <alignment horizontal="center"/>
    </xf>
    <xf numFmtId="17" fontId="2" fillId="0" borderId="0" xfId="6" quotePrefix="1" applyNumberFormat="1" applyFont="1" applyFill="1" applyAlignment="1" applyProtection="1">
      <alignment horizontal="center"/>
    </xf>
    <xf numFmtId="0" fontId="32" fillId="0" borderId="0" xfId="6" applyFont="1" applyFill="1"/>
    <xf numFmtId="166" fontId="9" fillId="0" borderId="0" xfId="6" quotePrefix="1" applyNumberFormat="1" applyFont="1" applyFill="1" applyAlignment="1" applyProtection="1">
      <alignment horizontal="center"/>
    </xf>
    <xf numFmtId="0" fontId="9" fillId="0" borderId="0" xfId="6" applyFont="1" applyFill="1"/>
    <xf numFmtId="165" fontId="2" fillId="0" borderId="0" xfId="6" applyNumberFormat="1" applyFont="1" applyFill="1" applyBorder="1" applyAlignment="1" applyProtection="1">
      <alignment horizontal="center" wrapText="1"/>
    </xf>
    <xf numFmtId="165" fontId="10" fillId="0" borderId="0" xfId="6" applyNumberFormat="1" applyFont="1" applyFill="1" applyBorder="1" applyAlignment="1" applyProtection="1">
      <alignment horizontal="center" wrapText="1"/>
    </xf>
    <xf numFmtId="165" fontId="10" fillId="0" borderId="2" xfId="6" applyNumberFormat="1" applyFont="1" applyFill="1" applyBorder="1" applyAlignment="1" applyProtection="1">
      <alignment horizontal="center" wrapText="1"/>
    </xf>
    <xf numFmtId="2" fontId="10" fillId="0" borderId="0" xfId="6" quotePrefix="1" applyNumberFormat="1" applyFont="1" applyFill="1" applyAlignment="1" applyProtection="1">
      <alignment horizontal="center"/>
    </xf>
    <xf numFmtId="17" fontId="10" fillId="0" borderId="0" xfId="6" quotePrefix="1" applyNumberFormat="1" applyFont="1" applyFill="1" applyAlignment="1" applyProtection="1">
      <alignment horizontal="center"/>
    </xf>
    <xf numFmtId="43" fontId="31" fillId="0" borderId="0" xfId="1" applyFont="1" applyFill="1" applyBorder="1" applyAlignment="1">
      <alignment horizontal="center"/>
    </xf>
    <xf numFmtId="43" fontId="38" fillId="0" borderId="0" xfId="1" applyFont="1" applyFill="1" applyAlignment="1"/>
    <xf numFmtId="43" fontId="2" fillId="0" borderId="0" xfId="1" applyFont="1" applyFill="1" applyAlignment="1"/>
    <xf numFmtId="43" fontId="2" fillId="0" borderId="1" xfId="1" applyFont="1" applyFill="1" applyBorder="1" applyAlignment="1"/>
    <xf numFmtId="43" fontId="2" fillId="0" borderId="0" xfId="1" applyFont="1" applyFill="1" applyBorder="1" applyAlignment="1"/>
    <xf numFmtId="43" fontId="2" fillId="0" borderId="0" xfId="1" applyFont="1" applyFill="1" applyAlignment="1">
      <alignment horizontal="center"/>
    </xf>
    <xf numFmtId="2" fontId="2" fillId="0" borderId="0" xfId="1" applyNumberFormat="1" applyFont="1" applyFill="1" applyAlignment="1"/>
    <xf numFmtId="43" fontId="39" fillId="0" borderId="0" xfId="1" applyFont="1" applyFill="1" applyAlignment="1" applyProtection="1">
      <alignment horizontal="center"/>
    </xf>
    <xf numFmtId="43" fontId="9" fillId="0" borderId="0" xfId="1" applyFont="1" applyFill="1" applyAlignment="1"/>
    <xf numFmtId="43" fontId="9" fillId="0" borderId="1" xfId="1" applyFont="1" applyFill="1" applyBorder="1" applyAlignment="1"/>
    <xf numFmtId="43" fontId="4" fillId="0" borderId="4" xfId="1" applyFont="1" applyFill="1" applyBorder="1" applyAlignment="1"/>
    <xf numFmtId="43" fontId="9" fillId="0" borderId="0" xfId="1" applyFont="1" applyFill="1" applyAlignment="1">
      <alignment horizontal="center"/>
    </xf>
    <xf numFmtId="2" fontId="9" fillId="0" borderId="0" xfId="1" applyNumberFormat="1" applyFont="1" applyFill="1" applyAlignment="1"/>
    <xf numFmtId="43" fontId="33" fillId="0" borderId="0" xfId="1" applyFont="1" applyFill="1" applyAlignment="1"/>
    <xf numFmtId="43" fontId="40" fillId="0" borderId="2" xfId="1" applyFont="1" applyFill="1" applyBorder="1" applyAlignment="1" applyProtection="1">
      <alignment horizontal="right"/>
    </xf>
    <xf numFmtId="43" fontId="38" fillId="0" borderId="0" xfId="1" applyFont="1" applyFill="1" applyBorder="1" applyAlignment="1" applyProtection="1">
      <alignment horizontal="right"/>
    </xf>
    <xf numFmtId="165" fontId="2" fillId="0" borderId="0" xfId="1" applyNumberFormat="1" applyFont="1" applyFill="1" applyAlignment="1" applyProtection="1">
      <alignment horizontal="center"/>
    </xf>
    <xf numFmtId="43" fontId="2" fillId="0" borderId="1" xfId="1" applyNumberFormat="1" applyFont="1" applyFill="1" applyBorder="1" applyAlignment="1" applyProtection="1"/>
    <xf numFmtId="43" fontId="4" fillId="0" borderId="0" xfId="1" applyNumberFormat="1" applyFont="1" applyFill="1" applyAlignment="1" applyProtection="1">
      <alignment horizontal="center"/>
    </xf>
    <xf numFmtId="43" fontId="2" fillId="0" borderId="0" xfId="1" applyFont="1" applyFill="1" applyAlignment="1" applyProtection="1">
      <alignment horizontal="center"/>
    </xf>
    <xf numFmtId="17" fontId="5" fillId="0" borderId="0" xfId="6" quotePrefix="1" applyNumberFormat="1" applyFont="1" applyFill="1" applyAlignment="1" applyProtection="1">
      <alignment horizontal="center"/>
    </xf>
    <xf numFmtId="17" fontId="5" fillId="0" borderId="0" xfId="6" quotePrefix="1" applyNumberFormat="1" applyFont="1" applyFill="1" applyBorder="1" applyAlignment="1" applyProtection="1">
      <alignment horizontal="center"/>
    </xf>
    <xf numFmtId="43" fontId="2" fillId="0" borderId="0" xfId="1" applyFont="1" applyFill="1" applyBorder="1" applyAlignment="1" applyProtection="1">
      <alignment horizontal="center"/>
    </xf>
    <xf numFmtId="43" fontId="2" fillId="0" borderId="16" xfId="1" applyNumberFormat="1" applyFont="1" applyFill="1" applyBorder="1" applyAlignment="1" applyProtection="1"/>
    <xf numFmtId="43" fontId="4" fillId="0" borderId="14" xfId="1" applyNumberFormat="1" applyFont="1" applyFill="1" applyBorder="1" applyAlignment="1" applyProtection="1">
      <alignment horizontal="center"/>
    </xf>
    <xf numFmtId="17" fontId="5" fillId="0" borderId="14" xfId="6" quotePrefix="1" applyNumberFormat="1" applyFont="1" applyFill="1" applyBorder="1" applyAlignment="1" applyProtection="1">
      <alignment horizontal="center"/>
    </xf>
    <xf numFmtId="43" fontId="2" fillId="0" borderId="14" xfId="1" applyFont="1" applyFill="1" applyBorder="1" applyAlignment="1" applyProtection="1">
      <alignment horizontal="center"/>
    </xf>
    <xf numFmtId="165" fontId="2" fillId="0" borderId="14" xfId="6" applyNumberFormat="1" applyFont="1" applyFill="1" applyBorder="1" applyAlignment="1" applyProtection="1">
      <alignment horizontal="center" wrapText="1"/>
    </xf>
    <xf numFmtId="0" fontId="38" fillId="0" borderId="3" xfId="6" applyFont="1" applyFill="1" applyBorder="1" applyAlignment="1" applyProtection="1">
      <alignment horizontal="center" wrapText="1"/>
    </xf>
    <xf numFmtId="0" fontId="10" fillId="0" borderId="0" xfId="6" applyFont="1" applyFill="1" applyAlignment="1" applyProtection="1">
      <alignment horizontal="centerContinuous"/>
    </xf>
    <xf numFmtId="2" fontId="10" fillId="0" borderId="0" xfId="6" applyNumberFormat="1" applyFont="1" applyFill="1" applyAlignment="1" applyProtection="1">
      <alignment horizontal="centerContinuous"/>
    </xf>
    <xf numFmtId="0" fontId="31" fillId="0" borderId="0" xfId="6" applyFont="1" applyFill="1" applyAlignment="1" applyProtection="1">
      <alignment horizontal="centerContinuous"/>
    </xf>
    <xf numFmtId="0" fontId="38" fillId="0" borderId="0" xfId="6" applyFont="1" applyFill="1" applyAlignment="1" applyProtection="1">
      <alignment horizontal="centerContinuous"/>
    </xf>
    <xf numFmtId="0" fontId="6" fillId="0" borderId="0" xfId="6" applyFont="1" applyFill="1" applyAlignment="1">
      <alignment horizontal="centerContinuous"/>
    </xf>
    <xf numFmtId="2" fontId="6" fillId="0" borderId="0" xfId="6" applyNumberFormat="1" applyFont="1" applyFill="1" applyAlignment="1">
      <alignment horizontal="centerContinuous"/>
    </xf>
    <xf numFmtId="0" fontId="41" fillId="0" borderId="0" xfId="6" applyFont="1" applyFill="1" applyAlignment="1">
      <alignment horizontal="centerContinuous"/>
    </xf>
    <xf numFmtId="0" fontId="38" fillId="0" borderId="0" xfId="6" applyFont="1" applyFill="1" applyAlignment="1">
      <alignment horizontal="centerContinuous"/>
    </xf>
    <xf numFmtId="0" fontId="16" fillId="0" borderId="0" xfId="0" applyFont="1" applyAlignment="1">
      <alignment horizontal="left" indent="1"/>
    </xf>
    <xf numFmtId="44" fontId="16" fillId="0" borderId="0" xfId="3" applyFont="1"/>
    <xf numFmtId="0" fontId="14" fillId="0" borderId="0" xfId="0" applyFont="1" applyBorder="1" applyAlignment="1">
      <alignment horizontal="left" indent="1"/>
    </xf>
    <xf numFmtId="43" fontId="0" fillId="0" borderId="0" xfId="1" applyFont="1"/>
    <xf numFmtId="0" fontId="15" fillId="0" borderId="0" xfId="0" applyFont="1" applyBorder="1"/>
    <xf numFmtId="43" fontId="4" fillId="0" borderId="0" xfId="1" applyNumberFormat="1" applyFont="1" applyFill="1" applyBorder="1" applyAlignment="1" applyProtection="1">
      <alignment horizontal="center"/>
    </xf>
    <xf numFmtId="165" fontId="2" fillId="0" borderId="14" xfId="1" applyNumberFormat="1" applyFont="1" applyFill="1" applyBorder="1" applyAlignment="1" applyProtection="1">
      <alignment horizontal="center"/>
    </xf>
    <xf numFmtId="165" fontId="54" fillId="0" borderId="0" xfId="5" applyNumberFormat="1" applyFont="1" applyFill="1" applyBorder="1" applyAlignment="1" applyProtection="1">
      <alignment horizontal="center" wrapText="1"/>
    </xf>
    <xf numFmtId="165" fontId="2" fillId="0" borderId="0" xfId="1" applyNumberFormat="1" applyFont="1" applyFill="1" applyBorder="1" applyAlignment="1" applyProtection="1">
      <alignment horizontal="center"/>
    </xf>
    <xf numFmtId="165" fontId="54" fillId="0" borderId="0" xfId="6" applyNumberFormat="1" applyFont="1" applyFill="1" applyBorder="1" applyAlignment="1" applyProtection="1">
      <alignment horizontal="center" wrapText="1"/>
    </xf>
    <xf numFmtId="165" fontId="54" fillId="0" borderId="14" xfId="6" applyNumberFormat="1" applyFont="1" applyFill="1" applyBorder="1" applyAlignment="1" applyProtection="1">
      <alignment horizontal="center" wrapText="1"/>
    </xf>
    <xf numFmtId="168" fontId="0" fillId="0" borderId="0" xfId="0" applyNumberFormat="1"/>
    <xf numFmtId="17" fontId="10" fillId="0" borderId="0" xfId="5" quotePrefix="1" applyNumberFormat="1" applyFont="1" applyFill="1" applyBorder="1" applyAlignment="1" applyProtection="1">
      <alignment horizontal="center"/>
    </xf>
    <xf numFmtId="165" fontId="11" fillId="0" borderId="17" xfId="1" applyNumberFormat="1" applyFont="1" applyFill="1" applyBorder="1" applyAlignment="1" applyProtection="1">
      <alignment horizontal="center"/>
    </xf>
    <xf numFmtId="165" fontId="11" fillId="0" borderId="0" xfId="1" applyNumberFormat="1" applyFont="1" applyFill="1" applyBorder="1" applyAlignment="1" applyProtection="1"/>
    <xf numFmtId="43" fontId="11" fillId="0" borderId="18" xfId="5" applyNumberFormat="1" applyFont="1" applyFill="1" applyBorder="1" applyAlignment="1" applyProtection="1">
      <alignment horizontal="center" wrapText="1"/>
    </xf>
    <xf numFmtId="165" fontId="54" fillId="0" borderId="18" xfId="5" applyNumberFormat="1" applyFont="1" applyFill="1" applyBorder="1" applyAlignment="1" applyProtection="1">
      <alignment horizontal="center" wrapText="1"/>
    </xf>
    <xf numFmtId="17" fontId="11" fillId="0" borderId="18" xfId="5" quotePrefix="1" applyNumberFormat="1" applyFont="1" applyFill="1" applyBorder="1" applyAlignment="1" applyProtection="1">
      <alignment horizontal="center"/>
    </xf>
    <xf numFmtId="43" fontId="11" fillId="0" borderId="18" xfId="1" applyNumberFormat="1" applyFont="1" applyFill="1" applyBorder="1" applyAlignment="1" applyProtection="1">
      <alignment horizontal="center"/>
    </xf>
    <xf numFmtId="17" fontId="10" fillId="0" borderId="18" xfId="5" quotePrefix="1" applyNumberFormat="1" applyFont="1" applyFill="1" applyBorder="1" applyAlignment="1" applyProtection="1">
      <alignment horizontal="center"/>
    </xf>
    <xf numFmtId="165" fontId="11" fillId="0" borderId="18" xfId="1" applyNumberFormat="1" applyFont="1" applyFill="1" applyBorder="1" applyAlignment="1" applyProtection="1">
      <alignment horizontal="center"/>
    </xf>
    <xf numFmtId="165" fontId="11" fillId="0" borderId="18" xfId="1" applyNumberFormat="1" applyFont="1" applyFill="1" applyBorder="1" applyAlignment="1" applyProtection="1"/>
    <xf numFmtId="165" fontId="11" fillId="0" borderId="19" xfId="1" applyNumberFormat="1" applyFont="1" applyFill="1" applyBorder="1" applyAlignment="1" applyProtection="1">
      <alignment horizontal="center"/>
    </xf>
    <xf numFmtId="165" fontId="42" fillId="0" borderId="0" xfId="5" applyNumberFormat="1" applyFont="1" applyFill="1" applyBorder="1" applyAlignment="1" applyProtection="1">
      <alignment horizontal="center" wrapText="1"/>
    </xf>
    <xf numFmtId="165" fontId="42" fillId="0" borderId="14" xfId="5" applyNumberFormat="1" applyFont="1" applyFill="1" applyBorder="1" applyAlignment="1" applyProtection="1">
      <alignment horizontal="center" wrapText="1"/>
    </xf>
    <xf numFmtId="0" fontId="55" fillId="0" borderId="13" xfId="5" applyFont="1" applyFill="1" applyBorder="1" applyAlignment="1" applyProtection="1">
      <alignment horizontal="center" wrapText="1"/>
    </xf>
    <xf numFmtId="17" fontId="55" fillId="0" borderId="13" xfId="5" applyNumberFormat="1" applyFont="1" applyFill="1" applyBorder="1" applyAlignment="1" applyProtection="1">
      <alignment horizontal="center" wrapText="1"/>
    </xf>
    <xf numFmtId="17" fontId="10" fillId="0" borderId="13" xfId="5" applyNumberFormat="1" applyFont="1" applyFill="1" applyBorder="1" applyAlignment="1" applyProtection="1">
      <alignment horizontal="center" wrapText="1"/>
    </xf>
    <xf numFmtId="0" fontId="55" fillId="0" borderId="3" xfId="5" applyFont="1" applyFill="1" applyBorder="1" applyAlignment="1" applyProtection="1">
      <alignment horizontal="center" wrapText="1"/>
    </xf>
    <xf numFmtId="0" fontId="55" fillId="0" borderId="7" xfId="0" quotePrefix="1" applyFont="1" applyBorder="1" applyAlignment="1" applyProtection="1">
      <alignment horizontal="left" vertical="center"/>
    </xf>
    <xf numFmtId="0" fontId="43" fillId="0" borderId="0" xfId="0" applyFont="1" applyAlignment="1">
      <alignment horizontal="left"/>
    </xf>
    <xf numFmtId="0" fontId="0" fillId="0" borderId="0" xfId="0" applyBorder="1"/>
    <xf numFmtId="0" fontId="55" fillId="0" borderId="0" xfId="0" quotePrefix="1" applyFont="1" applyAlignment="1" applyProtection="1">
      <alignment horizontal="left" vertical="center"/>
    </xf>
    <xf numFmtId="0" fontId="55" fillId="0" borderId="18" xfId="6" applyNumberFormat="1" applyFont="1" applyFill="1" applyBorder="1" applyAlignment="1" applyProtection="1">
      <alignment horizontal="center" wrapText="1"/>
    </xf>
    <xf numFmtId="2" fontId="56" fillId="0" borderId="0" xfId="6" quotePrefix="1" applyNumberFormat="1" applyFont="1" applyFill="1" applyAlignment="1" applyProtection="1">
      <alignment horizontal="center"/>
    </xf>
    <xf numFmtId="43" fontId="56" fillId="0" borderId="0" xfId="1" quotePrefix="1" applyFont="1" applyFill="1" applyAlignment="1" applyProtection="1">
      <alignment horizontal="center"/>
    </xf>
    <xf numFmtId="43" fontId="56" fillId="0" borderId="14" xfId="1" quotePrefix="1" applyFont="1" applyFill="1" applyBorder="1" applyAlignment="1" applyProtection="1">
      <alignment horizontal="center"/>
    </xf>
    <xf numFmtId="43" fontId="56" fillId="0" borderId="0" xfId="1" quotePrefix="1" applyFont="1" applyFill="1" applyBorder="1" applyAlignment="1" applyProtection="1">
      <alignment horizontal="center"/>
    </xf>
    <xf numFmtId="2" fontId="56" fillId="0" borderId="0" xfId="6" quotePrefix="1" applyNumberFormat="1" applyFont="1" applyFill="1" applyBorder="1" applyAlignment="1" applyProtection="1">
      <alignment horizontal="center"/>
    </xf>
    <xf numFmtId="2" fontId="56" fillId="0" borderId="14" xfId="6" quotePrefix="1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left"/>
    </xf>
    <xf numFmtId="165" fontId="42" fillId="4" borderId="0" xfId="5" applyNumberFormat="1" applyFont="1" applyFill="1" applyBorder="1" applyAlignment="1" applyProtection="1">
      <alignment horizontal="center" wrapText="1"/>
    </xf>
    <xf numFmtId="43" fontId="11" fillId="4" borderId="18" xfId="5" applyNumberFormat="1" applyFont="1" applyFill="1" applyBorder="1" applyAlignment="1" applyProtection="1">
      <alignment horizontal="center" wrapText="1"/>
    </xf>
    <xf numFmtId="165" fontId="54" fillId="4" borderId="18" xfId="5" applyNumberFormat="1" applyFont="1" applyFill="1" applyBorder="1" applyAlignment="1" applyProtection="1">
      <alignment horizontal="center" wrapText="1"/>
    </xf>
    <xf numFmtId="17" fontId="11" fillId="4" borderId="18" xfId="5" quotePrefix="1" applyNumberFormat="1" applyFont="1" applyFill="1" applyBorder="1" applyAlignment="1" applyProtection="1">
      <alignment horizontal="center"/>
    </xf>
    <xf numFmtId="43" fontId="11" fillId="4" borderId="18" xfId="1" applyNumberFormat="1" applyFont="1" applyFill="1" applyBorder="1" applyAlignment="1" applyProtection="1">
      <alignment horizontal="center"/>
    </xf>
    <xf numFmtId="17" fontId="10" fillId="4" borderId="18" xfId="5" quotePrefix="1" applyNumberFormat="1" applyFont="1" applyFill="1" applyBorder="1" applyAlignment="1" applyProtection="1">
      <alignment horizontal="center"/>
    </xf>
    <xf numFmtId="165" fontId="11" fillId="4" borderId="18" xfId="1" applyNumberFormat="1" applyFont="1" applyFill="1" applyBorder="1" applyAlignment="1" applyProtection="1">
      <alignment horizontal="center"/>
    </xf>
    <xf numFmtId="165" fontId="11" fillId="4" borderId="19" xfId="1" applyNumberFormat="1" applyFont="1" applyFill="1" applyBorder="1" applyAlignment="1" applyProtection="1">
      <alignment horizontal="center"/>
    </xf>
    <xf numFmtId="165" fontId="11" fillId="4" borderId="18" xfId="1" applyNumberFormat="1" applyFont="1" applyFill="1" applyBorder="1" applyAlignment="1" applyProtection="1"/>
    <xf numFmtId="0" fontId="15" fillId="4" borderId="0" xfId="0" applyFont="1" applyFill="1" applyBorder="1"/>
    <xf numFmtId="43" fontId="11" fillId="4" borderId="0" xfId="5" applyNumberFormat="1" applyFont="1" applyFill="1" applyBorder="1" applyAlignment="1" applyProtection="1">
      <alignment horizontal="center" wrapText="1"/>
    </xf>
    <xf numFmtId="165" fontId="54" fillId="4" borderId="0" xfId="5" applyNumberFormat="1" applyFont="1" applyFill="1" applyBorder="1" applyAlignment="1" applyProtection="1">
      <alignment horizontal="center" wrapText="1"/>
    </xf>
    <xf numFmtId="17" fontId="11" fillId="4" borderId="0" xfId="5" quotePrefix="1" applyNumberFormat="1" applyFont="1" applyFill="1" applyAlignment="1" applyProtection="1">
      <alignment horizontal="center"/>
    </xf>
    <xf numFmtId="43" fontId="11" fillId="4" borderId="0" xfId="1" applyNumberFormat="1" applyFont="1" applyFill="1" applyAlignment="1" applyProtection="1">
      <alignment horizontal="center"/>
    </xf>
    <xf numFmtId="17" fontId="10" fillId="4" borderId="0" xfId="5" quotePrefix="1" applyNumberFormat="1" applyFont="1" applyFill="1" applyAlignment="1" applyProtection="1">
      <alignment horizontal="center"/>
    </xf>
    <xf numFmtId="165" fontId="11" fillId="4" borderId="0" xfId="1" applyNumberFormat="1" applyFont="1" applyFill="1" applyAlignment="1" applyProtection="1">
      <alignment horizontal="center"/>
    </xf>
    <xf numFmtId="165" fontId="11" fillId="4" borderId="17" xfId="1" applyNumberFormat="1" applyFont="1" applyFill="1" applyBorder="1" applyAlignment="1" applyProtection="1">
      <alignment horizontal="center"/>
    </xf>
    <xf numFmtId="165" fontId="11" fillId="4" borderId="0" xfId="1" applyNumberFormat="1" applyFont="1" applyFill="1" applyBorder="1" applyAlignment="1" applyProtection="1"/>
    <xf numFmtId="17" fontId="10" fillId="4" borderId="0" xfId="5" quotePrefix="1" applyNumberFormat="1" applyFont="1" applyFill="1" applyBorder="1" applyAlignment="1" applyProtection="1">
      <alignment horizontal="center"/>
    </xf>
    <xf numFmtId="165" fontId="2" fillId="4" borderId="0" xfId="6" applyNumberFormat="1" applyFont="1" applyFill="1" applyBorder="1" applyAlignment="1" applyProtection="1">
      <alignment horizontal="center" wrapText="1"/>
    </xf>
    <xf numFmtId="165" fontId="32" fillId="4" borderId="0" xfId="6" applyNumberFormat="1" applyFont="1" applyFill="1" applyBorder="1" applyAlignment="1" applyProtection="1">
      <alignment horizontal="center" wrapText="1"/>
    </xf>
    <xf numFmtId="17" fontId="5" fillId="4" borderId="0" xfId="6" quotePrefix="1" applyNumberFormat="1" applyFont="1" applyFill="1" applyBorder="1" applyAlignment="1" applyProtection="1">
      <alignment horizontal="center"/>
    </xf>
    <xf numFmtId="2" fontId="56" fillId="4" borderId="0" xfId="6" quotePrefix="1" applyNumberFormat="1" applyFont="1" applyFill="1" applyBorder="1" applyAlignment="1" applyProtection="1">
      <alignment horizontal="center"/>
    </xf>
    <xf numFmtId="43" fontId="2" fillId="4" borderId="0" xfId="1" applyFont="1" applyFill="1" applyBorder="1" applyAlignment="1" applyProtection="1">
      <alignment horizontal="center"/>
    </xf>
    <xf numFmtId="43" fontId="4" fillId="4" borderId="0" xfId="1" applyNumberFormat="1" applyFont="1" applyFill="1" applyBorder="1" applyAlignment="1" applyProtection="1">
      <alignment horizontal="center"/>
    </xf>
    <xf numFmtId="43" fontId="2" fillId="4" borderId="1" xfId="1" applyNumberFormat="1" applyFont="1" applyFill="1" applyBorder="1" applyAlignment="1" applyProtection="1"/>
    <xf numFmtId="43" fontId="4" fillId="4" borderId="0" xfId="1" applyNumberFormat="1" applyFont="1" applyFill="1" applyAlignment="1" applyProtection="1">
      <alignment horizontal="center"/>
    </xf>
    <xf numFmtId="165" fontId="42" fillId="0" borderId="18" xfId="5" applyNumberFormat="1" applyFont="1" applyFill="1" applyBorder="1" applyAlignment="1" applyProtection="1">
      <alignment horizontal="center" wrapText="1"/>
    </xf>
    <xf numFmtId="43" fontId="3" fillId="5" borderId="0" xfId="0" applyNumberFormat="1" applyFont="1" applyFill="1" applyBorder="1" applyAlignment="1" applyProtection="1">
      <alignment horizontal="right" vertical="center"/>
    </xf>
    <xf numFmtId="43" fontId="3" fillId="5" borderId="8" xfId="0" applyNumberFormat="1" applyFont="1" applyFill="1" applyBorder="1" applyAlignment="1" applyProtection="1">
      <alignment horizontal="right" vertical="center"/>
    </xf>
    <xf numFmtId="43" fontId="3" fillId="0" borderId="7" xfId="0" applyNumberFormat="1" applyFont="1" applyFill="1" applyBorder="1" applyAlignment="1" applyProtection="1">
      <alignment horizontal="right" vertical="center"/>
    </xf>
    <xf numFmtId="43" fontId="3" fillId="5" borderId="7" xfId="0" applyNumberFormat="1" applyFont="1" applyFill="1" applyBorder="1" applyAlignment="1" applyProtection="1">
      <alignment horizontal="right" vertical="center"/>
    </xf>
    <xf numFmtId="43" fontId="3" fillId="0" borderId="0" xfId="0" applyNumberFormat="1" applyFont="1" applyFill="1" applyBorder="1" applyAlignment="1" applyProtection="1">
      <alignment horizontal="right" vertical="center"/>
    </xf>
    <xf numFmtId="43" fontId="3" fillId="6" borderId="0" xfId="0" applyNumberFormat="1" applyFont="1" applyFill="1" applyBorder="1" applyAlignment="1" applyProtection="1">
      <alignment horizontal="right" vertical="center"/>
    </xf>
    <xf numFmtId="43" fontId="3" fillId="6" borderId="8" xfId="0" applyNumberFormat="1" applyFont="1" applyFill="1" applyBorder="1" applyAlignment="1" applyProtection="1">
      <alignment horizontal="right" vertical="center"/>
    </xf>
    <xf numFmtId="43" fontId="3" fillId="6" borderId="7" xfId="0" applyNumberFormat="1" applyFont="1" applyFill="1" applyBorder="1" applyAlignment="1" applyProtection="1">
      <alignment horizontal="right" vertical="center"/>
    </xf>
    <xf numFmtId="43" fontId="18" fillId="0" borderId="7" xfId="0" applyNumberFormat="1" applyFont="1" applyFill="1" applyBorder="1" applyAlignment="1" applyProtection="1">
      <alignment horizontal="right" vertical="center"/>
    </xf>
    <xf numFmtId="0" fontId="10" fillId="0" borderId="0" xfId="5" applyFont="1" applyFill="1" applyAlignment="1">
      <alignment horizontal="center"/>
    </xf>
    <xf numFmtId="0" fontId="10" fillId="0" borderId="0" xfId="5" applyFont="1" applyFill="1" applyAlignment="1" applyProtection="1">
      <alignment horizontal="center"/>
    </xf>
    <xf numFmtId="0" fontId="15" fillId="0" borderId="0" xfId="0" applyFont="1" applyFill="1" applyBorder="1"/>
    <xf numFmtId="43" fontId="4" fillId="0" borderId="0" xfId="0" applyNumberFormat="1" applyFont="1" applyFill="1" applyBorder="1"/>
    <xf numFmtId="0" fontId="31" fillId="0" borderId="0" xfId="5" applyFont="1" applyFill="1" applyAlignment="1" applyProtection="1">
      <alignment horizontal="center"/>
    </xf>
    <xf numFmtId="17" fontId="10" fillId="0" borderId="0" xfId="5" applyNumberFormat="1" applyFont="1" applyFill="1" applyAlignment="1" applyProtection="1">
      <alignment horizontal="center"/>
    </xf>
    <xf numFmtId="43" fontId="10" fillId="0" borderId="0" xfId="1" applyFont="1" applyFill="1" applyBorder="1" applyAlignment="1" applyProtection="1">
      <alignment horizontal="right"/>
    </xf>
    <xf numFmtId="43" fontId="10" fillId="0" borderId="0" xfId="1" applyFont="1" applyFill="1" applyBorder="1" applyAlignment="1">
      <alignment horizontal="right"/>
    </xf>
    <xf numFmtId="43" fontId="17" fillId="0" borderId="0" xfId="1" quotePrefix="1" applyFont="1" applyFill="1" applyAlignment="1" applyProtection="1">
      <alignment horizontal="right"/>
    </xf>
    <xf numFmtId="43" fontId="32" fillId="0" borderId="0" xfId="1" applyNumberFormat="1" applyFont="1" applyFill="1" applyAlignment="1" applyProtection="1">
      <alignment horizontal="right"/>
    </xf>
    <xf numFmtId="43" fontId="32" fillId="0" borderId="0" xfId="1" applyFont="1" applyFill="1" applyAlignment="1" applyProtection="1">
      <alignment horizontal="right"/>
    </xf>
    <xf numFmtId="43" fontId="31" fillId="0" borderId="0" xfId="1" applyFont="1" applyFill="1" applyBorder="1" applyAlignment="1">
      <alignment horizontal="right"/>
    </xf>
    <xf numFmtId="0" fontId="34" fillId="0" borderId="0" xfId="0" applyFont="1"/>
    <xf numFmtId="43" fontId="10" fillId="0" borderId="2" xfId="1" applyFont="1" applyFill="1" applyBorder="1" applyAlignment="1">
      <alignment horizontal="right"/>
    </xf>
    <xf numFmtId="43" fontId="31" fillId="0" borderId="0" xfId="1" applyFont="1" applyFill="1" applyBorder="1" applyAlignment="1" applyProtection="1">
      <alignment horizontal="right"/>
    </xf>
    <xf numFmtId="43" fontId="32" fillId="0" borderId="0" xfId="1" applyFont="1" applyFill="1" applyBorder="1" applyAlignment="1" applyProtection="1">
      <alignment horizontal="right"/>
    </xf>
    <xf numFmtId="43" fontId="54" fillId="0" borderId="0" xfId="1" applyFont="1" applyFill="1" applyAlignment="1" applyProtection="1">
      <alignment horizontal="right"/>
    </xf>
    <xf numFmtId="43" fontId="32" fillId="0" borderId="0" xfId="1" applyNumberFormat="1" applyFont="1" applyFill="1" applyBorder="1" applyAlignment="1" applyProtection="1">
      <alignment horizontal="right"/>
    </xf>
    <xf numFmtId="43" fontId="15" fillId="0" borderId="0" xfId="0" applyNumberFormat="1" applyFont="1" applyBorder="1"/>
    <xf numFmtId="43" fontId="32" fillId="0" borderId="18" xfId="1" applyNumberFormat="1" applyFont="1" applyFill="1" applyBorder="1" applyAlignment="1" applyProtection="1">
      <alignment horizontal="right"/>
    </xf>
    <xf numFmtId="43" fontId="32" fillId="0" borderId="18" xfId="1" applyFont="1" applyFill="1" applyBorder="1" applyAlignment="1" applyProtection="1">
      <alignment horizontal="right"/>
    </xf>
    <xf numFmtId="165" fontId="2" fillId="0" borderId="18" xfId="1" applyNumberFormat="1" applyFont="1" applyFill="1" applyBorder="1" applyAlignment="1" applyProtection="1">
      <alignment horizontal="center"/>
    </xf>
    <xf numFmtId="165" fontId="10" fillId="0" borderId="2" xfId="1" applyNumberFormat="1" applyFont="1" applyFill="1" applyBorder="1" applyAlignment="1" applyProtection="1">
      <alignment horizontal="right"/>
    </xf>
    <xf numFmtId="43" fontId="14" fillId="0" borderId="0" xfId="0" applyNumberFormat="1" applyFont="1" applyAlignment="1">
      <alignment horizontal="center"/>
    </xf>
    <xf numFmtId="0" fontId="15" fillId="4" borderId="0" xfId="0" applyFont="1" applyFill="1" applyBorder="1"/>
    <xf numFmtId="43" fontId="15" fillId="4" borderId="0" xfId="0" applyNumberFormat="1" applyFont="1" applyFill="1" applyBorder="1"/>
    <xf numFmtId="43" fontId="54" fillId="0" borderId="0" xfId="1" applyFont="1" applyFill="1" applyBorder="1" applyAlignment="1" applyProtection="1">
      <alignment horizontal="right"/>
    </xf>
    <xf numFmtId="43" fontId="54" fillId="0" borderId="18" xfId="1" applyFont="1" applyFill="1" applyBorder="1" applyAlignment="1" applyProtection="1">
      <alignment horizontal="right"/>
    </xf>
    <xf numFmtId="169" fontId="57" fillId="0" borderId="14" xfId="0" applyNumberFormat="1" applyFont="1" applyBorder="1" applyAlignment="1">
      <alignment horizontal="center"/>
    </xf>
    <xf numFmtId="43" fontId="32" fillId="4" borderId="18" xfId="1" applyNumberFormat="1" applyFont="1" applyFill="1" applyBorder="1" applyAlignment="1" applyProtection="1">
      <alignment horizontal="right"/>
    </xf>
    <xf numFmtId="43" fontId="32" fillId="4" borderId="18" xfId="1" applyFont="1" applyFill="1" applyBorder="1" applyAlignment="1" applyProtection="1">
      <alignment horizontal="right"/>
    </xf>
    <xf numFmtId="165" fontId="2" fillId="4" borderId="18" xfId="1" applyNumberFormat="1" applyFont="1" applyFill="1" applyBorder="1" applyAlignment="1" applyProtection="1">
      <alignment horizontal="center"/>
    </xf>
    <xf numFmtId="0" fontId="15" fillId="4" borderId="0" xfId="0" applyFont="1" applyFill="1" applyBorder="1"/>
    <xf numFmtId="43" fontId="15" fillId="4" borderId="0" xfId="0" applyNumberFormat="1" applyFont="1" applyFill="1" applyBorder="1"/>
    <xf numFmtId="43" fontId="32" fillId="4" borderId="0" xfId="1" applyNumberFormat="1" applyFont="1" applyFill="1" applyAlignment="1" applyProtection="1">
      <alignment horizontal="right"/>
    </xf>
    <xf numFmtId="43" fontId="32" fillId="4" borderId="0" xfId="1" applyFont="1" applyFill="1" applyAlignment="1" applyProtection="1">
      <alignment horizontal="right"/>
    </xf>
    <xf numFmtId="165" fontId="2" fillId="4" borderId="0" xfId="1" applyNumberFormat="1" applyFont="1" applyFill="1" applyAlignment="1" applyProtection="1">
      <alignment horizontal="center"/>
    </xf>
    <xf numFmtId="43" fontId="14" fillId="0" borderId="14" xfId="0" applyNumberFormat="1" applyFont="1" applyBorder="1" applyAlignment="1">
      <alignment horizontal="center"/>
    </xf>
    <xf numFmtId="44" fontId="14" fillId="0" borderId="0" xfId="0" applyNumberFormat="1" applyFont="1"/>
    <xf numFmtId="40" fontId="0" fillId="0" borderId="0" xfId="0" applyNumberFormat="1"/>
    <xf numFmtId="17" fontId="14" fillId="0" borderId="0" xfId="0" applyNumberFormat="1" applyFont="1" applyAlignment="1">
      <alignment horizontal="center"/>
    </xf>
    <xf numFmtId="44" fontId="14" fillId="0" borderId="0" xfId="3" applyFont="1" applyBorder="1"/>
    <xf numFmtId="44" fontId="58" fillId="0" borderId="0" xfId="3" applyFont="1" applyBorder="1"/>
    <xf numFmtId="44" fontId="16" fillId="0" borderId="0" xfId="3" applyFont="1" applyBorder="1"/>
    <xf numFmtId="40" fontId="0" fillId="0" borderId="0" xfId="0" applyNumberFormat="1" applyBorder="1"/>
    <xf numFmtId="169" fontId="59" fillId="0" borderId="0" xfId="0" applyNumberFormat="1" applyFont="1" applyAlignment="1">
      <alignment horizontal="center"/>
    </xf>
    <xf numFmtId="167" fontId="60" fillId="0" borderId="0" xfId="6" applyNumberFormat="1" applyFont="1" applyFill="1" applyAlignment="1" applyProtection="1">
      <alignment horizontal="centerContinuous"/>
    </xf>
    <xf numFmtId="167" fontId="60" fillId="0" borderId="0" xfId="6" applyNumberFormat="1" applyFont="1" applyFill="1" applyAlignment="1">
      <alignment horizontal="centerContinuous"/>
    </xf>
    <xf numFmtId="40" fontId="3" fillId="0" borderId="0" xfId="0" applyNumberFormat="1" applyFont="1" applyAlignment="1" applyProtection="1">
      <alignment horizontal="centerContinuous"/>
    </xf>
    <xf numFmtId="40" fontId="3" fillId="0" borderId="0" xfId="0" applyNumberFormat="1" applyFont="1" applyAlignment="1">
      <alignment horizontal="centerContinuous"/>
    </xf>
    <xf numFmtId="40" fontId="4" fillId="0" borderId="0" xfId="0" applyNumberFormat="1" applyFont="1"/>
    <xf numFmtId="40" fontId="22" fillId="3" borderId="2" xfId="0" applyNumberFormat="1" applyFont="1" applyFill="1" applyBorder="1" applyAlignment="1" applyProtection="1">
      <alignment horizontal="center" wrapText="1"/>
    </xf>
    <xf numFmtId="40" fontId="7" fillId="4" borderId="4" xfId="0" applyNumberFormat="1" applyFont="1" applyFill="1" applyBorder="1" applyAlignment="1" applyProtection="1">
      <alignment horizontal="center" wrapText="1"/>
    </xf>
    <xf numFmtId="40" fontId="7" fillId="7" borderId="4" xfId="0" applyNumberFormat="1" applyFont="1" applyFill="1" applyBorder="1" applyAlignment="1" applyProtection="1">
      <alignment horizontal="center" wrapText="1"/>
    </xf>
    <xf numFmtId="40" fontId="22" fillId="8" borderId="2" xfId="0" applyNumberFormat="1" applyFont="1" applyFill="1" applyBorder="1" applyAlignment="1" applyProtection="1">
      <alignment horizontal="center" wrapText="1"/>
    </xf>
    <xf numFmtId="40" fontId="22" fillId="0" borderId="2" xfId="0" applyNumberFormat="1" applyFont="1" applyBorder="1" applyAlignment="1" applyProtection="1">
      <alignment horizontal="center" wrapText="1"/>
    </xf>
    <xf numFmtId="40" fontId="22" fillId="0" borderId="2" xfId="0" applyNumberFormat="1" applyFont="1" applyFill="1" applyBorder="1" applyAlignment="1" applyProtection="1">
      <alignment horizontal="center" wrapText="1"/>
    </xf>
    <xf numFmtId="40" fontId="22" fillId="0" borderId="6" xfId="0" applyNumberFormat="1" applyFont="1" applyBorder="1" applyAlignment="1">
      <alignment horizontal="center" wrapText="1"/>
    </xf>
    <xf numFmtId="40" fontId="18" fillId="0" borderId="0" xfId="0" applyNumberFormat="1" applyFont="1" applyBorder="1" applyAlignment="1" applyProtection="1">
      <alignment vertical="center"/>
    </xf>
    <xf numFmtId="40" fontId="18" fillId="0" borderId="0" xfId="0" applyNumberFormat="1" applyFont="1" applyBorder="1" applyAlignment="1" applyProtection="1">
      <alignment horizontal="right" vertical="center"/>
    </xf>
    <xf numFmtId="40" fontId="18" fillId="0" borderId="8" xfId="0" applyNumberFormat="1" applyFont="1" applyBorder="1" applyAlignment="1">
      <alignment horizontal="right" vertical="center"/>
    </xf>
    <xf numFmtId="40" fontId="3" fillId="2" borderId="8" xfId="0" applyNumberFormat="1" applyFont="1" applyFill="1" applyBorder="1" applyAlignment="1">
      <alignment horizontal="right" vertical="center"/>
    </xf>
    <xf numFmtId="40" fontId="3" fillId="0" borderId="8" xfId="0" applyNumberFormat="1" applyFont="1" applyFill="1" applyBorder="1" applyAlignment="1">
      <alignment horizontal="right" vertical="center"/>
    </xf>
    <xf numFmtId="40" fontId="3" fillId="6" borderId="8" xfId="0" applyNumberFormat="1" applyFont="1" applyFill="1" applyBorder="1" applyAlignment="1">
      <alignment horizontal="right" vertical="center"/>
    </xf>
    <xf numFmtId="40" fontId="7" fillId="0" borderId="10" xfId="0" applyNumberFormat="1" applyFont="1" applyBorder="1" applyAlignment="1" applyProtection="1">
      <alignment horizontal="right" vertical="center"/>
    </xf>
    <xf numFmtId="40" fontId="7" fillId="0" borderId="10" xfId="0" applyNumberFormat="1" applyFont="1" applyBorder="1" applyAlignment="1">
      <alignment horizontal="right" vertical="center"/>
    </xf>
    <xf numFmtId="40" fontId="3" fillId="0" borderId="0" xfId="0" applyNumberFormat="1" applyFont="1" applyAlignment="1" applyProtection="1">
      <alignment horizontal="center"/>
    </xf>
    <xf numFmtId="40" fontId="3" fillId="0" borderId="0" xfId="0" applyNumberFormat="1" applyFont="1" applyAlignment="1" applyProtection="1">
      <alignment horizontal="right"/>
    </xf>
    <xf numFmtId="40" fontId="3" fillId="0" borderId="0" xfId="0" applyNumberFormat="1" applyFont="1" applyAlignment="1">
      <alignment horizontal="right"/>
    </xf>
    <xf numFmtId="40" fontId="4" fillId="0" borderId="0" xfId="0" applyNumberFormat="1" applyFont="1" applyBorder="1"/>
    <xf numFmtId="40" fontId="29" fillId="0" borderId="0" xfId="0" applyNumberFormat="1" applyFont="1" applyAlignment="1"/>
    <xf numFmtId="40" fontId="36" fillId="0" borderId="0" xfId="0" applyNumberFormat="1" applyFont="1" applyFill="1" applyAlignment="1">
      <alignment horizontal="center"/>
    </xf>
    <xf numFmtId="40" fontId="30" fillId="0" borderId="0" xfId="0" applyNumberFormat="1" applyFont="1" applyAlignment="1">
      <alignment horizontal="center"/>
    </xf>
    <xf numFmtId="40" fontId="30" fillId="0" borderId="0" xfId="0" applyNumberFormat="1" applyFont="1" applyBorder="1" applyAlignment="1">
      <alignment horizontal="center"/>
    </xf>
    <xf numFmtId="40" fontId="4" fillId="0" borderId="14" xfId="0" applyNumberFormat="1" applyFont="1" applyBorder="1"/>
    <xf numFmtId="40" fontId="4" fillId="0" borderId="0" xfId="1" applyNumberFormat="1" applyFont="1"/>
    <xf numFmtId="40" fontId="7" fillId="0" borderId="4" xfId="0" applyNumberFormat="1" applyFont="1" applyBorder="1" applyAlignment="1" applyProtection="1">
      <alignment horizontal="center" wrapText="1"/>
    </xf>
    <xf numFmtId="40" fontId="18" fillId="0" borderId="0" xfId="0" applyNumberFormat="1" applyFont="1" applyAlignment="1" applyProtection="1">
      <alignment horizontal="right" vertical="center"/>
    </xf>
    <xf numFmtId="40" fontId="3" fillId="2" borderId="0" xfId="0" applyNumberFormat="1" applyFont="1" applyFill="1" applyAlignment="1" applyProtection="1">
      <alignment horizontal="right" vertical="center"/>
    </xf>
    <xf numFmtId="40" fontId="3" fillId="0" borderId="0" xfId="0" applyNumberFormat="1" applyFont="1" applyAlignment="1" applyProtection="1">
      <alignment horizontal="right" vertical="center"/>
    </xf>
    <xf numFmtId="40" fontId="3" fillId="0" borderId="0" xfId="0" applyNumberFormat="1" applyFont="1" applyFill="1" applyAlignment="1" applyProtection="1">
      <alignment horizontal="right" vertical="center"/>
    </xf>
    <xf numFmtId="40" fontId="3" fillId="6" borderId="0" xfId="0" applyNumberFormat="1" applyFont="1" applyFill="1" applyAlignment="1" applyProtection="1">
      <alignment horizontal="right" vertical="center"/>
    </xf>
    <xf numFmtId="40" fontId="18" fillId="0" borderId="2" xfId="0" applyNumberFormat="1" applyFont="1" applyBorder="1" applyAlignment="1" applyProtection="1">
      <alignment horizontal="right" vertical="center"/>
    </xf>
    <xf numFmtId="40" fontId="7" fillId="0" borderId="20" xfId="0" applyNumberFormat="1" applyFont="1" applyBorder="1" applyAlignment="1">
      <alignment horizontal="center" wrapText="1"/>
    </xf>
    <xf numFmtId="40" fontId="18" fillId="0" borderId="2" xfId="0" applyNumberFormat="1" applyFont="1" applyBorder="1" applyAlignment="1">
      <alignment horizontal="right" vertical="center"/>
    </xf>
    <xf numFmtId="40" fontId="4" fillId="0" borderId="0" xfId="0" applyNumberFormat="1" applyFont="1" applyAlignment="1">
      <alignment horizontal="right"/>
    </xf>
    <xf numFmtId="40" fontId="4" fillId="0" borderId="0" xfId="1" applyNumberFormat="1" applyFont="1" applyAlignment="1">
      <alignment horizontal="right"/>
    </xf>
    <xf numFmtId="40" fontId="29" fillId="0" borderId="0" xfId="0" applyNumberFormat="1" applyFont="1" applyAlignment="1">
      <alignment horizontal="right"/>
    </xf>
    <xf numFmtId="40" fontId="36" fillId="0" borderId="0" xfId="0" applyNumberFormat="1" applyFont="1" applyAlignment="1">
      <alignment horizontal="right"/>
    </xf>
    <xf numFmtId="40" fontId="30" fillId="0" borderId="0" xfId="0" applyNumberFormat="1" applyFont="1" applyAlignment="1">
      <alignment horizontal="right"/>
    </xf>
    <xf numFmtId="40" fontId="30" fillId="0" borderId="4" xfId="0" applyNumberFormat="1" applyFont="1" applyBorder="1" applyAlignment="1">
      <alignment horizontal="right"/>
    </xf>
    <xf numFmtId="40" fontId="30" fillId="0" borderId="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40" fontId="22" fillId="8" borderId="4" xfId="0" applyNumberFormat="1" applyFont="1" applyFill="1" applyBorder="1" applyAlignment="1" applyProtection="1">
      <alignment horizontal="center" wrapText="1"/>
    </xf>
    <xf numFmtId="40" fontId="22" fillId="0" borderId="4" xfId="0" applyNumberFormat="1" applyFont="1" applyBorder="1" applyAlignment="1" applyProtection="1">
      <alignment horizontal="center" wrapText="1"/>
    </xf>
    <xf numFmtId="0" fontId="14" fillId="0" borderId="0" xfId="0" applyFont="1" applyAlignment="1">
      <alignment horizontal="center" wrapText="1"/>
    </xf>
    <xf numFmtId="44" fontId="16" fillId="0" borderId="0" xfId="0" applyNumberFormat="1" applyFont="1"/>
    <xf numFmtId="165" fontId="54" fillId="4" borderId="14" xfId="5" applyNumberFormat="1" applyFont="1" applyFill="1" applyBorder="1" applyAlignment="1" applyProtection="1">
      <alignment horizontal="center" wrapText="1"/>
    </xf>
    <xf numFmtId="165" fontId="42" fillId="4" borderId="14" xfId="5" applyNumberFormat="1" applyFont="1" applyFill="1" applyBorder="1" applyAlignment="1" applyProtection="1">
      <alignment horizontal="center" wrapText="1"/>
    </xf>
    <xf numFmtId="43" fontId="32" fillId="4" borderId="14" xfId="1" applyFont="1" applyFill="1" applyBorder="1" applyAlignment="1" applyProtection="1">
      <alignment horizontal="right"/>
    </xf>
    <xf numFmtId="43" fontId="32" fillId="4" borderId="14" xfId="1" applyNumberFormat="1" applyFont="1" applyFill="1" applyBorder="1" applyAlignment="1" applyProtection="1">
      <alignment horizontal="right"/>
    </xf>
    <xf numFmtId="17" fontId="11" fillId="4" borderId="14" xfId="5" quotePrefix="1" applyNumberFormat="1" applyFont="1" applyFill="1" applyBorder="1" applyAlignment="1" applyProtection="1">
      <alignment horizontal="center"/>
    </xf>
    <xf numFmtId="43" fontId="11" fillId="4" borderId="14" xfId="1" applyNumberFormat="1" applyFont="1" applyFill="1" applyBorder="1" applyAlignment="1" applyProtection="1">
      <alignment horizontal="center"/>
    </xf>
    <xf numFmtId="17" fontId="10" fillId="4" borderId="14" xfId="5" quotePrefix="1" applyNumberFormat="1" applyFont="1" applyFill="1" applyBorder="1" applyAlignment="1" applyProtection="1">
      <alignment horizontal="center"/>
    </xf>
    <xf numFmtId="165" fontId="11" fillId="4" borderId="14" xfId="1" applyNumberFormat="1" applyFont="1" applyFill="1" applyBorder="1" applyAlignment="1" applyProtection="1">
      <alignment horizontal="center"/>
    </xf>
    <xf numFmtId="165" fontId="11" fillId="4" borderId="21" xfId="1" applyNumberFormat="1" applyFont="1" applyFill="1" applyBorder="1" applyAlignment="1" applyProtection="1">
      <alignment horizontal="center"/>
    </xf>
    <xf numFmtId="165" fontId="11" fillId="4" borderId="14" xfId="1" applyNumberFormat="1" applyFont="1" applyFill="1" applyBorder="1" applyAlignment="1" applyProtection="1"/>
    <xf numFmtId="165" fontId="2" fillId="4" borderId="14" xfId="1" applyNumberFormat="1" applyFont="1" applyFill="1" applyBorder="1" applyAlignment="1" applyProtection="1">
      <alignment horizontal="center"/>
    </xf>
    <xf numFmtId="43" fontId="11" fillId="4" borderId="14" xfId="5" applyNumberFormat="1" applyFont="1" applyFill="1" applyBorder="1" applyAlignment="1" applyProtection="1">
      <alignment horizontal="center" wrapText="1"/>
    </xf>
    <xf numFmtId="165" fontId="11" fillId="4" borderId="0" xfId="1" applyNumberFormat="1" applyFont="1" applyFill="1" applyBorder="1" applyAlignment="1" applyProtection="1">
      <alignment horizontal="center"/>
    </xf>
    <xf numFmtId="0" fontId="46" fillId="0" borderId="0" xfId="0" applyFont="1" applyBorder="1"/>
    <xf numFmtId="0" fontId="46" fillId="4" borderId="0" xfId="0" applyFont="1" applyFill="1" applyBorder="1"/>
    <xf numFmtId="43" fontId="46" fillId="4" borderId="0" xfId="1" applyFont="1" applyFill="1" applyBorder="1"/>
    <xf numFmtId="0" fontId="47" fillId="0" borderId="0" xfId="0" applyFont="1" applyBorder="1"/>
    <xf numFmtId="43" fontId="46" fillId="0" borderId="0" xfId="1" applyFont="1" applyBorder="1"/>
    <xf numFmtId="165" fontId="2" fillId="4" borderId="14" xfId="6" applyNumberFormat="1" applyFont="1" applyFill="1" applyBorder="1" applyAlignment="1" applyProtection="1">
      <alignment horizontal="center" wrapText="1"/>
    </xf>
    <xf numFmtId="165" fontId="32" fillId="4" borderId="14" xfId="6" applyNumberFormat="1" applyFont="1" applyFill="1" applyBorder="1" applyAlignment="1" applyProtection="1">
      <alignment horizontal="center" wrapText="1"/>
    </xf>
    <xf numFmtId="17" fontId="5" fillId="4" borderId="14" xfId="6" quotePrefix="1" applyNumberFormat="1" applyFont="1" applyFill="1" applyBorder="1" applyAlignment="1" applyProtection="1">
      <alignment horizontal="center"/>
    </xf>
    <xf numFmtId="2" fontId="56" fillId="4" borderId="14" xfId="6" quotePrefix="1" applyNumberFormat="1" applyFont="1" applyFill="1" applyBorder="1" applyAlignment="1" applyProtection="1">
      <alignment horizontal="center"/>
    </xf>
    <xf numFmtId="43" fontId="2" fillId="4" borderId="14" xfId="1" applyFont="1" applyFill="1" applyBorder="1" applyAlignment="1" applyProtection="1">
      <alignment horizontal="center"/>
    </xf>
    <xf numFmtId="43" fontId="4" fillId="4" borderId="14" xfId="1" applyNumberFormat="1" applyFont="1" applyFill="1" applyBorder="1" applyAlignment="1" applyProtection="1">
      <alignment horizontal="center"/>
    </xf>
    <xf numFmtId="43" fontId="2" fillId="4" borderId="16" xfId="1" applyNumberFormat="1" applyFont="1" applyFill="1" applyBorder="1" applyAlignment="1" applyProtection="1"/>
    <xf numFmtId="0" fontId="48" fillId="0" borderId="3" xfId="6" applyFont="1" applyFill="1" applyBorder="1" applyAlignment="1" applyProtection="1">
      <alignment horizontal="center" wrapText="1"/>
    </xf>
    <xf numFmtId="17" fontId="61" fillId="0" borderId="3" xfId="6" applyNumberFormat="1" applyFont="1" applyFill="1" applyBorder="1" applyAlignment="1" applyProtection="1">
      <alignment horizontal="center" wrapText="1"/>
    </xf>
    <xf numFmtId="17" fontId="40" fillId="0" borderId="3" xfId="6" applyNumberFormat="1" applyFont="1" applyFill="1" applyBorder="1" applyAlignment="1" applyProtection="1">
      <alignment horizontal="center" wrapText="1"/>
    </xf>
    <xf numFmtId="0" fontId="40" fillId="0" borderId="3" xfId="6" applyFont="1" applyFill="1" applyBorder="1" applyAlignment="1" applyProtection="1">
      <alignment horizontal="center" wrapText="1"/>
    </xf>
    <xf numFmtId="0" fontId="61" fillId="0" borderId="3" xfId="6" applyFont="1" applyFill="1" applyBorder="1" applyAlignment="1" applyProtection="1">
      <alignment horizontal="center" wrapText="1"/>
    </xf>
    <xf numFmtId="0" fontId="10" fillId="0" borderId="0" xfId="6" applyFont="1" applyFill="1" applyAlignment="1">
      <alignment horizontal="centerContinuous"/>
    </xf>
    <xf numFmtId="167" fontId="62" fillId="0" borderId="0" xfId="6" applyNumberFormat="1" applyFont="1" applyFill="1" applyAlignment="1" applyProtection="1">
      <alignment horizontal="centerContinuous"/>
    </xf>
    <xf numFmtId="0" fontId="10" fillId="0" borderId="3" xfId="6" applyFont="1" applyFill="1" applyBorder="1" applyAlignment="1" applyProtection="1">
      <alignment horizontal="center" wrapText="1"/>
    </xf>
    <xf numFmtId="43" fontId="2" fillId="0" borderId="0" xfId="1" applyFont="1" applyFill="1" applyBorder="1"/>
    <xf numFmtId="165" fontId="2" fillId="4" borderId="0" xfId="1" applyNumberFormat="1" applyFont="1" applyFill="1" applyBorder="1" applyAlignment="1" applyProtection="1">
      <alignment horizontal="center"/>
    </xf>
    <xf numFmtId="165" fontId="2" fillId="0" borderId="0" xfId="0" applyNumberFormat="1" applyFont="1" applyBorder="1"/>
    <xf numFmtId="165" fontId="54" fillId="0" borderId="22" xfId="6" applyNumberFormat="1" applyFont="1" applyFill="1" applyBorder="1" applyAlignment="1" applyProtection="1">
      <alignment horizontal="center" wrapText="1"/>
    </xf>
    <xf numFmtId="43" fontId="4" fillId="0" borderId="17" xfId="1" applyNumberFormat="1" applyFont="1" applyFill="1" applyBorder="1" applyAlignment="1" applyProtection="1">
      <alignment horizontal="center"/>
    </xf>
    <xf numFmtId="0" fontId="48" fillId="0" borderId="0" xfId="6" applyFont="1" applyFill="1" applyAlignment="1">
      <alignment horizontal="centerContinuous"/>
    </xf>
    <xf numFmtId="17" fontId="48" fillId="0" borderId="0" xfId="6" applyNumberFormat="1" applyFont="1" applyFill="1" applyAlignment="1" applyProtection="1">
      <alignment horizontal="centerContinuous"/>
    </xf>
    <xf numFmtId="167" fontId="63" fillId="0" borderId="0" xfId="6" applyNumberFormat="1" applyFont="1" applyFill="1" applyAlignment="1" applyProtection="1">
      <alignment horizontal="centerContinuous"/>
    </xf>
    <xf numFmtId="17" fontId="49" fillId="0" borderId="0" xfId="6" quotePrefix="1" applyNumberFormat="1" applyFont="1" applyFill="1" applyBorder="1" applyAlignment="1" applyProtection="1">
      <alignment horizontal="center"/>
    </xf>
    <xf numFmtId="17" fontId="49" fillId="0" borderId="0" xfId="6" quotePrefix="1" applyNumberFormat="1" applyFont="1" applyFill="1" applyAlignment="1" applyProtection="1">
      <alignment horizontal="center"/>
    </xf>
    <xf numFmtId="17" fontId="49" fillId="0" borderId="14" xfId="6" quotePrefix="1" applyNumberFormat="1" applyFont="1" applyFill="1" applyBorder="1" applyAlignment="1" applyProtection="1">
      <alignment horizontal="center"/>
    </xf>
    <xf numFmtId="17" fontId="49" fillId="4" borderId="0" xfId="6" quotePrefix="1" applyNumberFormat="1" applyFont="1" applyFill="1" applyBorder="1" applyAlignment="1" applyProtection="1">
      <alignment horizontal="center"/>
    </xf>
    <xf numFmtId="17" fontId="49" fillId="4" borderId="14" xfId="6" quotePrefix="1" applyNumberFormat="1" applyFont="1" applyFill="1" applyBorder="1" applyAlignment="1" applyProtection="1">
      <alignment horizontal="center"/>
    </xf>
    <xf numFmtId="43" fontId="50" fillId="0" borderId="0" xfId="1" applyFont="1" applyFill="1" applyBorder="1" applyAlignment="1" applyProtection="1">
      <alignment horizontal="right"/>
    </xf>
    <xf numFmtId="43" fontId="46" fillId="0" borderId="2" xfId="1" applyFont="1" applyFill="1" applyBorder="1" applyAlignment="1">
      <alignment horizontal="right"/>
    </xf>
    <xf numFmtId="43" fontId="46" fillId="0" borderId="0" xfId="1" applyFont="1" applyFill="1" applyBorder="1" applyAlignment="1">
      <alignment horizontal="right"/>
    </xf>
    <xf numFmtId="43" fontId="48" fillId="0" borderId="0" xfId="1" applyFont="1" applyFill="1" applyAlignment="1">
      <alignment horizontal="right"/>
    </xf>
    <xf numFmtId="0" fontId="46" fillId="0" borderId="0" xfId="6" applyFont="1" applyFill="1"/>
    <xf numFmtId="0" fontId="47" fillId="0" borderId="0" xfId="0" applyFont="1"/>
    <xf numFmtId="43" fontId="64" fillId="0" borderId="0" xfId="1" applyFont="1" applyFill="1" applyBorder="1"/>
    <xf numFmtId="0" fontId="65" fillId="0" borderId="0" xfId="0" applyFont="1" applyFill="1" applyBorder="1"/>
    <xf numFmtId="43" fontId="14" fillId="0" borderId="0" xfId="1" applyFont="1" applyFill="1" applyBorder="1"/>
    <xf numFmtId="0" fontId="0" fillId="0" borderId="0" xfId="0" applyFill="1" applyBorder="1"/>
    <xf numFmtId="0" fontId="51" fillId="0" borderId="0" xfId="0" applyFont="1"/>
    <xf numFmtId="43" fontId="51" fillId="0" borderId="0" xfId="0" applyNumberFormat="1" applyFont="1"/>
    <xf numFmtId="0" fontId="66" fillId="0" borderId="0" xfId="0" applyFont="1"/>
    <xf numFmtId="0" fontId="67" fillId="0" borderId="0" xfId="0" applyFont="1"/>
    <xf numFmtId="43" fontId="49" fillId="0" borderId="0" xfId="1" applyFont="1" applyFill="1" applyAlignment="1" applyProtection="1">
      <alignment horizontal="center"/>
    </xf>
    <xf numFmtId="43" fontId="7" fillId="0" borderId="0" xfId="1" applyFont="1" applyFill="1" applyAlignment="1" applyProtection="1">
      <alignment horizontal="center"/>
    </xf>
    <xf numFmtId="43" fontId="31" fillId="0" borderId="0" xfId="1" applyFont="1" applyFill="1" applyAlignment="1"/>
    <xf numFmtId="0" fontId="25" fillId="0" borderId="0" xfId="0" applyFont="1" applyFill="1"/>
    <xf numFmtId="0" fontId="68" fillId="0" borderId="3" xfId="6" applyFont="1" applyFill="1" applyBorder="1" applyAlignment="1" applyProtection="1">
      <alignment horizontal="center" wrapText="1"/>
    </xf>
    <xf numFmtId="49" fontId="53" fillId="0" borderId="0" xfId="7" applyNumberFormat="1" applyFont="1" applyAlignment="1">
      <alignment horizontal="center"/>
    </xf>
    <xf numFmtId="168" fontId="53" fillId="0" borderId="0" xfId="7" applyNumberFormat="1" applyFont="1" applyAlignment="1">
      <alignment horizontal="center"/>
    </xf>
    <xf numFmtId="43" fontId="4" fillId="0" borderId="0" xfId="0" applyNumberFormat="1" applyFont="1"/>
    <xf numFmtId="0" fontId="46" fillId="4" borderId="14" xfId="0" applyFont="1" applyFill="1" applyBorder="1"/>
    <xf numFmtId="0" fontId="15" fillId="4" borderId="14" xfId="0" applyFont="1" applyFill="1" applyBorder="1"/>
    <xf numFmtId="165" fontId="54" fillId="9" borderId="18" xfId="5" applyNumberFormat="1" applyFont="1" applyFill="1" applyBorder="1" applyAlignment="1" applyProtection="1">
      <alignment horizontal="center" wrapText="1"/>
    </xf>
    <xf numFmtId="165" fontId="54" fillId="9" borderId="0" xfId="5" applyNumberFormat="1" applyFont="1" applyFill="1" applyBorder="1" applyAlignment="1" applyProtection="1">
      <alignment horizontal="center" wrapText="1"/>
    </xf>
    <xf numFmtId="43" fontId="54" fillId="9" borderId="0" xfId="1" applyFont="1" applyFill="1" applyAlignment="1" applyProtection="1">
      <alignment horizontal="right"/>
    </xf>
    <xf numFmtId="43" fontId="54" fillId="9" borderId="0" xfId="1" applyFont="1" applyFill="1" applyBorder="1" applyAlignment="1" applyProtection="1">
      <alignment horizontal="right"/>
    </xf>
    <xf numFmtId="43" fontId="2" fillId="4" borderId="0" xfId="1" applyNumberFormat="1" applyFont="1" applyFill="1" applyAlignment="1" applyProtection="1">
      <alignment horizontal="center"/>
    </xf>
    <xf numFmtId="43" fontId="40" fillId="0" borderId="0" xfId="6" quotePrefix="1" applyNumberFormat="1" applyFont="1" applyFill="1" applyAlignment="1" applyProtection="1">
      <alignment horizontal="center"/>
    </xf>
    <xf numFmtId="165" fontId="69" fillId="0" borderId="0" xfId="6" applyNumberFormat="1" applyFont="1" applyFill="1"/>
    <xf numFmtId="44" fontId="40" fillId="0" borderId="0" xfId="3" quotePrefix="1" applyFont="1" applyFill="1" applyBorder="1" applyAlignment="1" applyProtection="1">
      <alignment horizontal="center"/>
    </xf>
    <xf numFmtId="0" fontId="26" fillId="0" borderId="0" xfId="0" applyFont="1" applyBorder="1"/>
    <xf numFmtId="0" fontId="13" fillId="0" borderId="0" xfId="6" applyFont="1" applyFill="1" applyBorder="1"/>
    <xf numFmtId="0" fontId="2" fillId="0" borderId="0" xfId="6" applyFont="1" applyFill="1" applyBorder="1"/>
    <xf numFmtId="0" fontId="32" fillId="0" borderId="0" xfId="6" applyFont="1" applyFill="1" applyBorder="1"/>
    <xf numFmtId="17" fontId="2" fillId="0" borderId="0" xfId="6" quotePrefix="1" applyNumberFormat="1" applyFont="1" applyFill="1" applyBorder="1" applyAlignment="1" applyProtection="1">
      <alignment horizontal="center"/>
    </xf>
    <xf numFmtId="2" fontId="2" fillId="0" borderId="0" xfId="6" quotePrefix="1" applyNumberFormat="1" applyFont="1" applyFill="1" applyBorder="1" applyAlignment="1" applyProtection="1">
      <alignment horizontal="center"/>
    </xf>
    <xf numFmtId="0" fontId="46" fillId="0" borderId="0" xfId="6" applyFont="1" applyFill="1" applyBorder="1"/>
    <xf numFmtId="165" fontId="9" fillId="0" borderId="0" xfId="6" applyNumberFormat="1" applyFont="1" applyFill="1" applyBorder="1"/>
    <xf numFmtId="165" fontId="40" fillId="0" borderId="0" xfId="6" applyNumberFormat="1" applyFont="1" applyFill="1" applyBorder="1"/>
    <xf numFmtId="165" fontId="69" fillId="0" borderId="0" xfId="6" applyNumberFormat="1" applyFont="1" applyFill="1" applyBorder="1" applyAlignment="1">
      <alignment wrapText="1"/>
    </xf>
    <xf numFmtId="165" fontId="2" fillId="0" borderId="0" xfId="6" applyNumberFormat="1" applyFont="1" applyFill="1" applyBorder="1"/>
    <xf numFmtId="0" fontId="0" fillId="0" borderId="0" xfId="0" applyFont="1" applyBorder="1"/>
    <xf numFmtId="0" fontId="35" fillId="0" borderId="0" xfId="0" applyFont="1" applyBorder="1"/>
    <xf numFmtId="0" fontId="14" fillId="0" borderId="0" xfId="0" applyFont="1" applyBorder="1"/>
    <xf numFmtId="2" fontId="0" fillId="0" borderId="0" xfId="0" applyNumberFormat="1" applyFont="1" applyBorder="1"/>
    <xf numFmtId="0" fontId="25" fillId="0" borderId="0" xfId="0" applyFont="1" applyFill="1" applyBorder="1"/>
    <xf numFmtId="2" fontId="0" fillId="0" borderId="0" xfId="0" applyNumberFormat="1" applyBorder="1"/>
    <xf numFmtId="43" fontId="10" fillId="0" borderId="0" xfId="1" applyFont="1" applyFill="1" applyBorder="1" applyAlignment="1">
      <alignment horizontal="center"/>
    </xf>
    <xf numFmtId="43" fontId="48" fillId="0" borderId="0" xfId="1" applyFont="1" applyFill="1" applyBorder="1" applyAlignment="1">
      <alignment horizontal="right"/>
    </xf>
    <xf numFmtId="43" fontId="28" fillId="0" borderId="0" xfId="1" applyFont="1" applyFill="1" applyBorder="1" applyAlignment="1"/>
    <xf numFmtId="0" fontId="25" fillId="0" borderId="0" xfId="0" applyFont="1" applyBorder="1"/>
    <xf numFmtId="43" fontId="10" fillId="0" borderId="4" xfId="1" applyFont="1" applyFill="1" applyBorder="1" applyAlignment="1" applyProtection="1">
      <alignment horizontal="right"/>
    </xf>
    <xf numFmtId="43" fontId="2" fillId="4" borderId="14" xfId="1" applyNumberFormat="1" applyFont="1" applyFill="1" applyBorder="1" applyAlignment="1" applyProtection="1">
      <alignment horizontal="center"/>
    </xf>
    <xf numFmtId="17" fontId="11" fillId="4" borderId="0" xfId="5" quotePrefix="1" applyNumberFormat="1" applyFont="1" applyFill="1" applyBorder="1" applyAlignment="1" applyProtection="1">
      <alignment horizontal="center"/>
    </xf>
    <xf numFmtId="43" fontId="2" fillId="4" borderId="0" xfId="1" applyNumberFormat="1" applyFont="1" applyFill="1" applyBorder="1" applyAlignment="1" applyProtection="1">
      <alignment horizontal="center"/>
    </xf>
    <xf numFmtId="44" fontId="16" fillId="0" borderId="0" xfId="0" applyNumberFormat="1" applyFont="1" applyAlignment="1">
      <alignment horizontal="left" indent="1"/>
    </xf>
    <xf numFmtId="49" fontId="52" fillId="0" borderId="0" xfId="8" applyNumberFormat="1"/>
    <xf numFmtId="49" fontId="52" fillId="0" borderId="0" xfId="8" applyNumberFormat="1" applyFill="1" applyAlignment="1">
      <alignment horizontal="right"/>
    </xf>
    <xf numFmtId="43" fontId="0" fillId="0" borderId="0" xfId="1" applyFont="1" applyBorder="1"/>
    <xf numFmtId="43" fontId="32" fillId="0" borderId="14" xfId="1" applyFont="1" applyFill="1" applyBorder="1" applyAlignment="1" applyProtection="1">
      <alignment horizontal="right"/>
    </xf>
    <xf numFmtId="44" fontId="58" fillId="0" borderId="0" xfId="3" applyFont="1" applyProtection="1">
      <protection locked="0"/>
    </xf>
    <xf numFmtId="169" fontId="58" fillId="0" borderId="0" xfId="0" applyNumberFormat="1" applyFont="1" applyProtection="1">
      <protection locked="0"/>
    </xf>
    <xf numFmtId="39" fontId="70" fillId="2" borderId="0" xfId="0" applyNumberFormat="1" applyFont="1" applyFill="1" applyBorder="1" applyAlignment="1" applyProtection="1">
      <alignment horizontal="right" vertical="center"/>
      <protection locked="0"/>
    </xf>
    <xf numFmtId="39" fontId="70" fillId="0" borderId="0" xfId="0" applyNumberFormat="1" applyFont="1" applyBorder="1" applyAlignment="1" applyProtection="1">
      <alignment horizontal="right" vertical="center"/>
      <protection locked="0"/>
    </xf>
    <xf numFmtId="39" fontId="70" fillId="0" borderId="0" xfId="0" applyNumberFormat="1" applyFont="1" applyFill="1" applyBorder="1" applyAlignment="1" applyProtection="1">
      <alignment horizontal="right" vertical="center"/>
      <protection locked="0"/>
    </xf>
    <xf numFmtId="39" fontId="70" fillId="2" borderId="0" xfId="1" applyNumberFormat="1" applyFont="1" applyFill="1" applyBorder="1" applyAlignment="1" applyProtection="1">
      <alignment horizontal="right" vertical="center"/>
      <protection locked="0"/>
    </xf>
    <xf numFmtId="39" fontId="70" fillId="2" borderId="0" xfId="0" applyNumberFormat="1" applyFont="1" applyFill="1" applyAlignment="1" applyProtection="1">
      <alignment horizontal="right" vertical="center"/>
      <protection locked="0"/>
    </xf>
    <xf numFmtId="39" fontId="70" fillId="0" borderId="0" xfId="0" applyNumberFormat="1" applyFont="1" applyAlignment="1" applyProtection="1">
      <alignment horizontal="right" vertical="center"/>
      <protection locked="0"/>
    </xf>
    <xf numFmtId="39" fontId="70" fillId="0" borderId="0" xfId="0" applyNumberFormat="1" applyFont="1" applyFill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10" fillId="0" borderId="0" xfId="5" applyFont="1" applyFill="1" applyAlignment="1" applyProtection="1">
      <alignment horizontal="left"/>
    </xf>
    <xf numFmtId="43" fontId="0" fillId="0" borderId="0" xfId="1" applyFont="1" applyProtection="1"/>
    <xf numFmtId="0" fontId="0" fillId="0" borderId="0" xfId="0" applyAlignment="1" applyProtection="1">
      <alignment horizontal="right"/>
      <protection locked="0"/>
    </xf>
    <xf numFmtId="49" fontId="52" fillId="0" borderId="0" xfId="7" applyNumberFormat="1"/>
    <xf numFmtId="168" fontId="52" fillId="0" borderId="0" xfId="7" applyNumberFormat="1"/>
    <xf numFmtId="43" fontId="54" fillId="4" borderId="0" xfId="1" applyFont="1" applyFill="1" applyAlignment="1" applyProtection="1">
      <alignment horizontal="right"/>
    </xf>
    <xf numFmtId="43" fontId="32" fillId="4" borderId="0" xfId="1" applyFont="1" applyFill="1" applyBorder="1" applyAlignment="1" applyProtection="1">
      <alignment horizontal="right"/>
    </xf>
    <xf numFmtId="43" fontId="0" fillId="0" borderId="0" xfId="1" applyFont="1" applyProtection="1">
      <protection locked="0"/>
    </xf>
    <xf numFmtId="165" fontId="2" fillId="4" borderId="0" xfId="6" applyNumberFormat="1" applyFont="1" applyFill="1" applyBorder="1" applyAlignment="1" applyProtection="1">
      <alignment horizontal="center" wrapText="1"/>
      <protection locked="0"/>
    </xf>
    <xf numFmtId="165" fontId="32" fillId="4" borderId="0" xfId="6" applyNumberFormat="1" applyFont="1" applyFill="1" applyBorder="1" applyAlignment="1" applyProtection="1">
      <alignment horizontal="center" wrapText="1"/>
      <protection locked="0"/>
    </xf>
    <xf numFmtId="17" fontId="49" fillId="4" borderId="0" xfId="6" quotePrefix="1" applyNumberFormat="1" applyFont="1" applyFill="1" applyBorder="1" applyAlignment="1" applyProtection="1">
      <alignment horizontal="center"/>
      <protection locked="0"/>
    </xf>
    <xf numFmtId="165" fontId="54" fillId="4" borderId="0" xfId="5" applyNumberFormat="1" applyFont="1" applyFill="1" applyBorder="1" applyAlignment="1" applyProtection="1">
      <alignment horizontal="center" wrapText="1"/>
      <protection locked="0"/>
    </xf>
    <xf numFmtId="17" fontId="5" fillId="4" borderId="0" xfId="6" quotePrefix="1" applyNumberFormat="1" applyFont="1" applyFill="1" applyBorder="1" applyAlignment="1" applyProtection="1">
      <alignment horizontal="center"/>
      <protection locked="0"/>
    </xf>
    <xf numFmtId="14" fontId="53" fillId="0" borderId="0" xfId="7" applyNumberFormat="1" applyFont="1" applyAlignment="1">
      <alignment horizontal="center"/>
    </xf>
    <xf numFmtId="14" fontId="52" fillId="0" borderId="0" xfId="7" applyNumberFormat="1"/>
    <xf numFmtId="165" fontId="54" fillId="4" borderId="14" xfId="5" applyNumberFormat="1" applyFont="1" applyFill="1" applyBorder="1" applyAlignment="1" applyProtection="1">
      <alignment horizontal="center" wrapText="1"/>
      <protection locked="0"/>
    </xf>
    <xf numFmtId="165" fontId="2" fillId="4" borderId="14" xfId="6" applyNumberFormat="1" applyFont="1" applyFill="1" applyBorder="1" applyAlignment="1" applyProtection="1">
      <alignment horizontal="center" wrapText="1"/>
      <protection locked="0"/>
    </xf>
    <xf numFmtId="165" fontId="32" fillId="4" borderId="14" xfId="6" applyNumberFormat="1" applyFont="1" applyFill="1" applyBorder="1" applyAlignment="1" applyProtection="1">
      <alignment horizontal="center" wrapText="1"/>
      <protection locked="0"/>
    </xf>
    <xf numFmtId="17" fontId="49" fillId="4" borderId="14" xfId="6" quotePrefix="1" applyNumberFormat="1" applyFont="1" applyFill="1" applyBorder="1" applyAlignment="1" applyProtection="1">
      <alignment horizontal="center"/>
      <protection locked="0"/>
    </xf>
    <xf numFmtId="17" fontId="11" fillId="4" borderId="0" xfId="5" quotePrefix="1" applyNumberFormat="1" applyFont="1" applyFill="1" applyBorder="1" applyAlignment="1" applyProtection="1">
      <alignment horizontal="center"/>
      <protection locked="0"/>
    </xf>
    <xf numFmtId="17" fontId="10" fillId="4" borderId="0" xfId="5" quotePrefix="1" applyNumberFormat="1" applyFont="1" applyFill="1" applyBorder="1" applyAlignment="1" applyProtection="1">
      <alignment horizontal="center"/>
      <protection locked="0"/>
    </xf>
    <xf numFmtId="43" fontId="32" fillId="4" borderId="0" xfId="1" applyFont="1" applyFill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Alignment="1">
      <alignment horizontal="left"/>
    </xf>
    <xf numFmtId="39" fontId="0" fillId="0" borderId="0" xfId="0" applyNumberFormat="1" applyFont="1"/>
    <xf numFmtId="43" fontId="14" fillId="0" borderId="0" xfId="1" applyFont="1"/>
    <xf numFmtId="43" fontId="40" fillId="9" borderId="2" xfId="1" applyFont="1" applyFill="1" applyBorder="1" applyAlignment="1" applyProtection="1">
      <alignment horizontal="right"/>
    </xf>
    <xf numFmtId="0" fontId="0" fillId="0" borderId="24" xfId="0" pivotButton="1" applyBorder="1" applyProtection="1">
      <protection locked="0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4" xfId="0" applyBorder="1" applyProtection="1">
      <protection locked="0"/>
    </xf>
    <xf numFmtId="40" fontId="0" fillId="0" borderId="26" xfId="0" applyNumberFormat="1" applyFill="1" applyBorder="1" applyProtection="1">
      <protection locked="0"/>
    </xf>
    <xf numFmtId="0" fontId="0" fillId="0" borderId="27" xfId="0" applyBorder="1" applyProtection="1">
      <protection locked="0"/>
    </xf>
    <xf numFmtId="40" fontId="0" fillId="0" borderId="28" xfId="0" applyNumberFormat="1" applyFill="1" applyBorder="1" applyProtection="1">
      <protection locked="0"/>
    </xf>
    <xf numFmtId="40" fontId="0" fillId="0" borderId="26" xfId="0" applyNumberFormat="1" applyBorder="1" applyProtection="1">
      <protection locked="0"/>
    </xf>
    <xf numFmtId="0" fontId="0" fillId="0" borderId="29" xfId="0" applyBorder="1" applyProtection="1">
      <protection locked="0"/>
    </xf>
    <xf numFmtId="40" fontId="0" fillId="0" borderId="30" xfId="0" applyNumberFormat="1" applyBorder="1" applyProtection="1">
      <protection locked="0"/>
    </xf>
    <xf numFmtId="17" fontId="5" fillId="4" borderId="14" xfId="6" quotePrefix="1" applyNumberFormat="1" applyFont="1" applyFill="1" applyBorder="1" applyAlignment="1" applyProtection="1">
      <alignment horizontal="center"/>
      <protection locked="0"/>
    </xf>
    <xf numFmtId="43" fontId="2" fillId="0" borderId="14" xfId="1" applyFont="1" applyFill="1" applyBorder="1"/>
    <xf numFmtId="43" fontId="4" fillId="0" borderId="14" xfId="0" applyNumberFormat="1" applyFont="1" applyFill="1" applyBorder="1"/>
    <xf numFmtId="0" fontId="15" fillId="0" borderId="14" xfId="0" applyFont="1" applyFill="1" applyBorder="1"/>
    <xf numFmtId="43" fontId="32" fillId="4" borderId="14" xfId="1" applyFont="1" applyFill="1" applyBorder="1" applyAlignment="1" applyProtection="1">
      <alignment horizontal="right"/>
      <protection locked="0"/>
    </xf>
    <xf numFmtId="17" fontId="11" fillId="4" borderId="14" xfId="5" quotePrefix="1" applyNumberFormat="1" applyFont="1" applyFill="1" applyBorder="1" applyAlignment="1" applyProtection="1">
      <alignment horizontal="center"/>
      <protection locked="0"/>
    </xf>
    <xf numFmtId="17" fontId="10" fillId="4" borderId="14" xfId="5" quotePrefix="1" applyNumberFormat="1" applyFont="1" applyFill="1" applyBorder="1" applyAlignment="1" applyProtection="1">
      <alignment horizontal="center"/>
      <protection locked="0"/>
    </xf>
    <xf numFmtId="0" fontId="46" fillId="0" borderId="14" xfId="0" applyFont="1" applyBorder="1"/>
    <xf numFmtId="0" fontId="15" fillId="0" borderId="14" xfId="0" applyFont="1" applyBorder="1"/>
    <xf numFmtId="0" fontId="0" fillId="9" borderId="0" xfId="0" applyFont="1" applyFill="1"/>
    <xf numFmtId="0" fontId="12" fillId="9" borderId="0" xfId="0" applyFont="1" applyFill="1"/>
    <xf numFmtId="165" fontId="10" fillId="9" borderId="2" xfId="2" applyNumberFormat="1" applyFont="1" applyFill="1" applyBorder="1" applyAlignment="1" applyProtection="1">
      <alignment horizontal="right"/>
    </xf>
    <xf numFmtId="49" fontId="71" fillId="0" borderId="0" xfId="0" applyNumberFormat="1" applyFont="1" applyFill="1" applyBorder="1" applyAlignment="1" applyProtection="1"/>
    <xf numFmtId="168" fontId="71" fillId="0" borderId="0" xfId="0" applyNumberFormat="1" applyFont="1" applyFill="1" applyBorder="1" applyAlignment="1" applyProtection="1"/>
    <xf numFmtId="14" fontId="71" fillId="0" borderId="0" xfId="0" applyNumberFormat="1" applyFont="1" applyFill="1" applyBorder="1" applyAlignment="1" applyProtection="1"/>
    <xf numFmtId="0" fontId="0" fillId="0" borderId="31" xfId="0" applyBorder="1" applyProtection="1">
      <protection locked="0"/>
    </xf>
    <xf numFmtId="0" fontId="0" fillId="0" borderId="32" xfId="0" applyBorder="1" applyProtection="1">
      <protection locked="0"/>
    </xf>
    <xf numFmtId="0" fontId="10" fillId="0" borderId="0" xfId="5" applyFont="1" applyFill="1" applyAlignment="1">
      <alignment horizontal="center"/>
    </xf>
    <xf numFmtId="0" fontId="10" fillId="0" borderId="0" xfId="5" applyFont="1" applyFill="1" applyAlignment="1" applyProtection="1">
      <alignment horizontal="center"/>
    </xf>
    <xf numFmtId="167" fontId="62" fillId="0" borderId="0" xfId="5" applyNumberFormat="1" applyFont="1" applyFill="1" applyAlignment="1" applyProtection="1">
      <alignment horizontal="center"/>
    </xf>
    <xf numFmtId="40" fontId="3" fillId="0" borderId="23" xfId="0" applyNumberFormat="1" applyFont="1" applyBorder="1" applyAlignment="1" applyProtection="1">
      <alignment horizontal="right"/>
    </xf>
  </cellXfs>
  <cellStyles count="9">
    <cellStyle name="Comma" xfId="1" builtinId="3"/>
    <cellStyle name="Comma 11" xfId="2"/>
    <cellStyle name="Currency" xfId="3" builtinId="4"/>
    <cellStyle name="Normal" xfId="0" builtinId="0"/>
    <cellStyle name="Normal 2" xfId="4"/>
    <cellStyle name="Normal_2001 FLO-GAS 1860.32 AMORTIZATION" xfId="5"/>
    <cellStyle name="Normal_2001 FLO-GAS 1860.32 AMORTIZATION 2" xfId="6"/>
    <cellStyle name="Normal_Data" xfId="7"/>
    <cellStyle name="Normal_Reconciliation" xfId="8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#,##0.00;[Red]\-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pivotCacheDefinition" Target="pivotCache/pivotCacheDefinition1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104775</xdr:rowOff>
    </xdr:from>
    <xdr:to>
      <xdr:col>7</xdr:col>
      <xdr:colOff>714375</xdr:colOff>
      <xdr:row>55</xdr:row>
      <xdr:rowOff>95250</xdr:rowOff>
    </xdr:to>
    <xdr:pic>
      <xdr:nvPicPr>
        <xdr:cNvPr id="1651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05550"/>
          <a:ext cx="7334250" cy="437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0</xdr:rowOff>
    </xdr:from>
    <xdr:to>
      <xdr:col>5</xdr:col>
      <xdr:colOff>1581150</xdr:colOff>
      <xdr:row>80</xdr:row>
      <xdr:rowOff>95250</xdr:rowOff>
    </xdr:to>
    <xdr:pic>
      <xdr:nvPicPr>
        <xdr:cNvPr id="26975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10950"/>
          <a:ext cx="7162800" cy="428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238125</xdr:colOff>
      <xdr:row>28</xdr:row>
      <xdr:rowOff>0</xdr:rowOff>
    </xdr:to>
    <xdr:pic>
      <xdr:nvPicPr>
        <xdr:cNvPr id="299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71500"/>
          <a:ext cx="5572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oyne, Sarah" refreshedDate="44568.611109143516" createdVersion="1" refreshedVersion="4" recordCount="36" upgradeOnRefresh="1">
  <cacheSource type="worksheet">
    <worksheetSource ref="A1:R37" sheet="Data"/>
  </cacheSource>
  <cacheFields count="18">
    <cacheField name="Reference" numFmtId="0">
      <sharedItems containsBlank="1" count="3">
        <s v="PIPE"/>
        <s v="CONV"/>
        <m u="1"/>
      </sharedItems>
    </cacheField>
    <cacheField name="Journal_Type" numFmtId="0">
      <sharedItems count="3">
        <s v="SYS-AP"/>
        <s v="AP-ACCR"/>
        <s v="RV"/>
      </sharedItems>
    </cacheField>
    <cacheField name="Originating_Org" numFmtId="0">
      <sharedItems/>
    </cacheField>
    <cacheField name="Journal_Number" numFmtId="0">
      <sharedItems/>
    </cacheField>
    <cacheField name="Account_Code" numFmtId="0">
      <sharedItems/>
    </cacheField>
    <cacheField name="Seg1_Code" numFmtId="0">
      <sharedItems/>
    </cacheField>
    <cacheField name="Seg2_Code" numFmtId="0">
      <sharedItems/>
    </cacheField>
    <cacheField name="Seg3_Code" numFmtId="0">
      <sharedItems/>
    </cacheField>
    <cacheField name="Seg4_Code" numFmtId="0">
      <sharedItems/>
    </cacheField>
    <cacheField name="Reference_Code" numFmtId="0">
      <sharedItems/>
    </cacheField>
    <cacheField name="Amount" numFmtId="0">
      <sharedItems containsSemiMixedTypes="0" containsString="0" containsNumber="1" minValue="-744" maxValue="2100"/>
    </cacheField>
    <cacheField name="Description" numFmtId="0">
      <sharedItems/>
    </cacheField>
    <cacheField name="Vendor_Name" numFmtId="0">
      <sharedItems/>
    </cacheField>
    <cacheField name="Document_1" numFmtId="0">
      <sharedItems/>
    </cacheField>
    <cacheField name="Document_2" numFmtId="0">
      <sharedItems/>
    </cacheField>
    <cacheField name="Apply_Date" numFmtId="0">
      <sharedItems containsSemiMixedTypes="0" containsNonDate="0" containsDate="1" containsString="0" minDate="2021-12-02T00:00:00" maxDate="2022-01-01T00:00:00"/>
    </cacheField>
    <cacheField name="Posted_Date" numFmtId="0">
      <sharedItems containsSemiMixedTypes="0" containsNonDate="0" containsDate="1" containsString="0" minDate="2021-12-03T00:00:00" maxDate="2022-01-07T00:00:00"/>
    </cacheField>
    <cacheField name="Posted_Statu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">
  <r>
    <x v="0"/>
    <x v="0"/>
    <s v="FC00"/>
    <s v="JRNL00546697"/>
    <s v="FN00-00000-1773-1860"/>
    <s v="FN00"/>
    <s v="00000"/>
    <s v="1773"/>
    <s v="1860"/>
    <s v="FN00PIPE"/>
    <n v="378.5"/>
    <s v="NEW CONST APPL CONNECT"/>
    <s v="GAS PLUMBING SERVICES INC"/>
    <s v="76548"/>
    <s v="VO890820"/>
    <d v="2021-12-02T00:00:00"/>
    <d v="2021-12-03T00:00:00"/>
    <s v="Yes"/>
  </r>
  <r>
    <x v="0"/>
    <x v="0"/>
    <s v="FC00"/>
    <s v="JRNL00546697"/>
    <s v="FN00-00000-1773-1860"/>
    <s v="FN00"/>
    <s v="00000"/>
    <s v="1773"/>
    <s v="1860"/>
    <s v="FN41PIPE"/>
    <n v="744"/>
    <s v="NEW CONST APPL CONNECT"/>
    <s v="GAS PLUMBING SERVICES INC"/>
    <s v="76594"/>
    <s v="VO890826"/>
    <d v="2021-12-02T00:00:00"/>
    <d v="2021-12-03T00:00:00"/>
    <s v="Yes"/>
  </r>
  <r>
    <x v="0"/>
    <x v="0"/>
    <s v="FC00"/>
    <s v="JRNL00546697"/>
    <s v="FN00-00000-1773-1860"/>
    <s v="FN00"/>
    <s v="00000"/>
    <s v="1773"/>
    <s v="1860"/>
    <s v="FN00PIPE"/>
    <n v="225"/>
    <s v="NEW CONST APPL CONNECT"/>
    <s v="GAS PLUMBING SERVICES INC"/>
    <s v="76491"/>
    <s v="VO890827"/>
    <d v="2021-12-02T00:00:00"/>
    <d v="2021-12-03T00:00:00"/>
    <s v="Yes"/>
  </r>
  <r>
    <x v="0"/>
    <x v="0"/>
    <s v="FC00"/>
    <s v="JRNL00546697"/>
    <s v="FN00-00000-1773-1860"/>
    <s v="FN00"/>
    <s v="00000"/>
    <s v="1773"/>
    <s v="1860"/>
    <s v="FN00PIPE"/>
    <n v="205"/>
    <s v="NEW CONST APPL CONNECT"/>
    <s v="GAS PLUMBING SERVICES INC"/>
    <s v="76549"/>
    <s v="VO890828"/>
    <d v="2021-12-02T00:00:00"/>
    <d v="2021-12-03T00:00:00"/>
    <s v="Yes"/>
  </r>
  <r>
    <x v="0"/>
    <x v="0"/>
    <s v="FC00"/>
    <s v="JRNL00546697"/>
    <s v="FN00-00000-1773-1860"/>
    <s v="FN00"/>
    <s v="00000"/>
    <s v="1773"/>
    <s v="1860"/>
    <s v="FN00PIPE"/>
    <n v="160"/>
    <s v="NEW CONST APPL CONNECT"/>
    <s v="GAS PLUMBING SERVICES INC"/>
    <s v="76573"/>
    <s v="VO890829"/>
    <d v="2021-12-02T00:00:00"/>
    <d v="2021-12-03T00:00:00"/>
    <s v="Yes"/>
  </r>
  <r>
    <x v="0"/>
    <x v="0"/>
    <s v="FC00"/>
    <s v="JRNL00546697"/>
    <s v="FN00-00000-1773-1860"/>
    <s v="FN00"/>
    <s v="00000"/>
    <s v="1773"/>
    <s v="1860"/>
    <s v="FN00PIPE"/>
    <n v="120"/>
    <s v="NEW CONST APPL CONNECT"/>
    <s v="GAS PLUMBING SERVICES INC"/>
    <s v="76572"/>
    <s v="VO890830"/>
    <d v="2021-12-02T00:00:00"/>
    <d v="2021-12-03T00:00:00"/>
    <s v="Yes"/>
  </r>
  <r>
    <x v="0"/>
    <x v="0"/>
    <s v="FC00"/>
    <s v="JRNL00546697"/>
    <s v="FN00-00000-1773-1860"/>
    <s v="FN00"/>
    <s v="00000"/>
    <s v="1773"/>
    <s v="1860"/>
    <s v="FN00PIPE"/>
    <n v="130"/>
    <s v="NEW CONST APPL CONNECT"/>
    <s v="GAS PLUMBING SERVICES INC"/>
    <s v="76492"/>
    <s v="VO890831"/>
    <d v="2021-12-02T00:00:00"/>
    <d v="2021-12-03T00:00:00"/>
    <s v="Yes"/>
  </r>
  <r>
    <x v="0"/>
    <x v="1"/>
    <s v="FN00"/>
    <s v="JRNL00546753"/>
    <s v="FN00-00000-1773-1860"/>
    <s v="FN00"/>
    <s v="00000"/>
    <s v="1773"/>
    <s v="1860"/>
    <s v="FN00PIPE"/>
    <n v="-378.5"/>
    <s v="Accrue - GAS PLUMBING SERVICES INC"/>
    <s v=""/>
    <s v="76548"/>
    <s v="JRNL00546710"/>
    <d v="2021-12-31T00:00:00"/>
    <d v="2021-12-20T00:00:00"/>
    <s v="Yes"/>
  </r>
  <r>
    <x v="0"/>
    <x v="1"/>
    <s v="FN00"/>
    <s v="JRNL00546753"/>
    <s v="FN00-00000-1773-1860"/>
    <s v="FN00"/>
    <s v="00000"/>
    <s v="1773"/>
    <s v="1860"/>
    <s v="FN00PIPE"/>
    <n v="-225"/>
    <s v="Accrue - GAS PLUMBING SERVICES INC"/>
    <s v=""/>
    <s v="76491"/>
    <s v="JRNL00546710"/>
    <d v="2021-12-31T00:00:00"/>
    <d v="2021-12-20T00:00:00"/>
    <s v="Yes"/>
  </r>
  <r>
    <x v="0"/>
    <x v="1"/>
    <s v="FN00"/>
    <s v="JRNL00546753"/>
    <s v="FN00-00000-1773-1860"/>
    <s v="FN00"/>
    <s v="00000"/>
    <s v="1773"/>
    <s v="1860"/>
    <s v="FN00PIPE"/>
    <n v="-130"/>
    <s v="Accrue - GAS PLUMBING SERVICES INC"/>
    <s v=""/>
    <s v="76492"/>
    <s v="JRNL00546710"/>
    <d v="2021-12-31T00:00:00"/>
    <d v="2021-12-20T00:00:00"/>
    <s v="Yes"/>
  </r>
  <r>
    <x v="0"/>
    <x v="1"/>
    <s v="FN00"/>
    <s v="JRNL00546753"/>
    <s v="FN00-00000-1773-1860"/>
    <s v="FN00"/>
    <s v="00000"/>
    <s v="1773"/>
    <s v="1860"/>
    <s v="FN00PIPE"/>
    <n v="-205"/>
    <s v="Accrue - GAS PLUMBING SERVICES INC"/>
    <s v=""/>
    <s v="76549"/>
    <s v="JRNL00546710"/>
    <d v="2021-12-31T00:00:00"/>
    <d v="2021-12-20T00:00:00"/>
    <s v="Yes"/>
  </r>
  <r>
    <x v="0"/>
    <x v="1"/>
    <s v="FN00"/>
    <s v="JRNL00546753"/>
    <s v="FN00-00000-1773-1860"/>
    <s v="FN00"/>
    <s v="00000"/>
    <s v="1773"/>
    <s v="1860"/>
    <s v="FN00PIPE"/>
    <n v="-120"/>
    <s v="Accrue - GAS PLUMBING SERVICES INC"/>
    <s v=""/>
    <s v="76572"/>
    <s v="JRNL00546710"/>
    <d v="2021-12-31T00:00:00"/>
    <d v="2021-12-20T00:00:00"/>
    <s v="Yes"/>
  </r>
  <r>
    <x v="0"/>
    <x v="1"/>
    <s v="FN00"/>
    <s v="JRNL00546753"/>
    <s v="FN00-00000-1773-1860"/>
    <s v="FN00"/>
    <s v="00000"/>
    <s v="1773"/>
    <s v="1860"/>
    <s v="FN00PIPE"/>
    <n v="-160"/>
    <s v="Accrue - GAS PLUMBING SERVICES INC"/>
    <s v=""/>
    <s v="76573"/>
    <s v="JRNL00546710"/>
    <d v="2021-12-31T00:00:00"/>
    <d v="2021-12-20T00:00:00"/>
    <s v="Yes"/>
  </r>
  <r>
    <x v="0"/>
    <x v="1"/>
    <s v="FN00"/>
    <s v="JRNL00546753"/>
    <s v="FN00-00000-1773-1860"/>
    <s v="FN00"/>
    <s v="00000"/>
    <s v="1773"/>
    <s v="1860"/>
    <s v="FN41PIPE"/>
    <n v="-744"/>
    <s v="Accrue - GAS PLUMBING SERVICES INC"/>
    <s v=""/>
    <s v="76594"/>
    <s v="JRNL00546710"/>
    <d v="2021-12-31T00:00:00"/>
    <d v="2021-12-20T00:00:00"/>
    <s v="Yes"/>
  </r>
  <r>
    <x v="1"/>
    <x v="0"/>
    <s v="FC00"/>
    <s v="JRNL00547437"/>
    <s v="FN43-00000-1773-1860"/>
    <s v="FN43"/>
    <s v="00000"/>
    <s v="1773"/>
    <s v="1860"/>
    <s v="FN41CONV"/>
    <n v="350"/>
    <s v="11/29/2021 - 12/05/2021"/>
    <s v="BLACKHAWK ENGAGEMENT SOLUTIONS INC"/>
    <s v="2021026206"/>
    <s v="VO892673"/>
    <d v="2021-12-13T00:00:00"/>
    <d v="2021-12-14T00:00:00"/>
    <s v="Yes"/>
  </r>
  <r>
    <x v="1"/>
    <x v="0"/>
    <s v="FC00"/>
    <s v="JRNL00547437"/>
    <s v="FN43-00000-1773-1860"/>
    <s v="FN43"/>
    <s v="00000"/>
    <s v="1773"/>
    <s v="1860"/>
    <s v="FN43CONV"/>
    <n v="350"/>
    <s v="11/29/2021 - 12/05/2021"/>
    <s v="BLACKHAWK ENGAGEMENT SOLUTIONS INC"/>
    <s v="2021026206"/>
    <s v="VO892673"/>
    <d v="2021-12-13T00:00:00"/>
    <d v="2021-12-14T00:00:00"/>
    <s v="Yes"/>
  </r>
  <r>
    <x v="0"/>
    <x v="0"/>
    <s v="FC00"/>
    <s v="JRNL00547437"/>
    <s v="FN00-00000-1773-1860"/>
    <s v="FN00"/>
    <s v="00000"/>
    <s v="1773"/>
    <s v="1860"/>
    <s v="FN00PIPE"/>
    <n v="624.5"/>
    <s v="NEW CONST APPL CONNECT"/>
    <s v="GAS PLUMBING SERVICES INC"/>
    <s v="76641"/>
    <s v="VO892700"/>
    <d v="2021-12-13T00:00:00"/>
    <d v="2021-12-14T00:00:00"/>
    <s v="Yes"/>
  </r>
  <r>
    <x v="0"/>
    <x v="0"/>
    <s v="FC00"/>
    <s v="JRNL00547437"/>
    <s v="FN00-00000-1773-1860"/>
    <s v="FN00"/>
    <s v="00000"/>
    <s v="1773"/>
    <s v="1860"/>
    <s v="FN00PIPE"/>
    <n v="277.5"/>
    <s v="NEW CONST APPL CONNECT"/>
    <s v="GAS PLUMBING SERVICES INC"/>
    <s v="76681"/>
    <s v="VO892701"/>
    <d v="2021-12-13T00:00:00"/>
    <d v="2021-12-14T00:00:00"/>
    <s v="Yes"/>
  </r>
  <r>
    <x v="0"/>
    <x v="0"/>
    <s v="FC00"/>
    <s v="JRNL00547437"/>
    <s v="FN00-00000-1773-1860"/>
    <s v="FN00"/>
    <s v="00000"/>
    <s v="1773"/>
    <s v="1860"/>
    <s v="FN00PIPE"/>
    <n v="160"/>
    <s v="NEW CONST APPL CONNECT"/>
    <s v="GAS PLUMBING SERVICES INC"/>
    <s v="76741"/>
    <s v="VO892716"/>
    <d v="2021-12-13T00:00:00"/>
    <d v="2021-12-14T00:00:00"/>
    <s v="Yes"/>
  </r>
  <r>
    <x v="0"/>
    <x v="0"/>
    <s v="FC00"/>
    <s v="JRNL00547437"/>
    <s v="FN00-00000-1773-1860"/>
    <s v="FN00"/>
    <s v="00000"/>
    <s v="1773"/>
    <s v="1860"/>
    <s v="FN00PIPE"/>
    <n v="160"/>
    <s v="NEW CONST APPL CONNECT"/>
    <s v="GAS PLUMBING SERVICES INC"/>
    <s v="76742"/>
    <s v="VO892717"/>
    <d v="2021-12-13T00:00:00"/>
    <d v="2021-12-14T00:00:00"/>
    <s v="Yes"/>
  </r>
  <r>
    <x v="0"/>
    <x v="0"/>
    <s v="FC00"/>
    <s v="JRNL00547437"/>
    <s v="FN00-00000-1773-1860"/>
    <s v="FN00"/>
    <s v="00000"/>
    <s v="1773"/>
    <s v="1860"/>
    <s v="FN00PIPE"/>
    <n v="160"/>
    <s v="NEW CONST APPL CONNECT"/>
    <s v="GAS PLUMBING SERVICES INC"/>
    <s v="76739"/>
    <s v="VO892718"/>
    <d v="2021-12-13T00:00:00"/>
    <d v="2021-12-14T00:00:00"/>
    <s v="Yes"/>
  </r>
  <r>
    <x v="0"/>
    <x v="0"/>
    <s v="FC00"/>
    <s v="JRNL00547437"/>
    <s v="FN00-00000-1773-1860"/>
    <s v="FN00"/>
    <s v="00000"/>
    <s v="1773"/>
    <s v="1860"/>
    <s v="FN00PIPE"/>
    <n v="160"/>
    <s v="NEW CONST APPL CONNECT"/>
    <s v="GAS PLUMBING SERVICES INC"/>
    <s v="76743"/>
    <s v="VO892719"/>
    <d v="2021-12-13T00:00:00"/>
    <d v="2021-12-14T00:00:00"/>
    <s v="Yes"/>
  </r>
  <r>
    <x v="0"/>
    <x v="0"/>
    <s v="FC00"/>
    <s v="JRNL00547437"/>
    <s v="FN00-00000-1773-1860"/>
    <s v="FN00"/>
    <s v="00000"/>
    <s v="1773"/>
    <s v="1860"/>
    <s v="FN00PIPE"/>
    <n v="160"/>
    <s v="NEW CONST APPL CONNECT"/>
    <s v="GAS PLUMBING SERVICES INC"/>
    <s v="76744"/>
    <s v="VO892720"/>
    <d v="2021-12-13T00:00:00"/>
    <d v="2021-12-14T00:00:00"/>
    <s v="Yes"/>
  </r>
  <r>
    <x v="0"/>
    <x v="0"/>
    <s v="FC00"/>
    <s v="JRNL00547437"/>
    <s v="FN00-00000-1773-1860"/>
    <s v="FN00"/>
    <s v="00000"/>
    <s v="1773"/>
    <s v="1860"/>
    <s v="FN00PIPE"/>
    <n v="75"/>
    <s v="NEW CONST APPL CONNECT"/>
    <s v="GAS PLUMBING SERVICES INC"/>
    <s v="76653"/>
    <s v="VO892721"/>
    <d v="2021-12-13T00:00:00"/>
    <d v="2021-12-14T00:00:00"/>
    <s v="Yes"/>
  </r>
  <r>
    <x v="0"/>
    <x v="0"/>
    <s v="FC00"/>
    <s v="JRNL00547437"/>
    <s v="FN00-00000-1773-1860"/>
    <s v="FN00"/>
    <s v="00000"/>
    <s v="1773"/>
    <s v="1860"/>
    <s v="FN00PIPE"/>
    <n v="75"/>
    <s v="NEW CONST APPL CONNECT"/>
    <s v="GAS PLUMBING SERVICES INC"/>
    <s v="76738"/>
    <s v="VO892722"/>
    <d v="2021-12-13T00:00:00"/>
    <d v="2021-12-14T00:00:00"/>
    <s v="Yes"/>
  </r>
  <r>
    <x v="0"/>
    <x v="0"/>
    <s v="FC00"/>
    <s v="JRNL00547437"/>
    <s v="FN00-00000-1773-1860"/>
    <s v="FN00"/>
    <s v="00000"/>
    <s v="1773"/>
    <s v="1860"/>
    <s v="FN00PIPE"/>
    <n v="150"/>
    <s v="NEW CONST APPL CONNECT"/>
    <s v="GAS PLUMBING SERVICES INC"/>
    <s v="76642"/>
    <s v="VO892723"/>
    <d v="2021-12-13T00:00:00"/>
    <d v="2021-12-14T00:00:00"/>
    <s v="Yes"/>
  </r>
  <r>
    <x v="0"/>
    <x v="0"/>
    <s v="FC00"/>
    <s v="JRNL00547437"/>
    <s v="FN00-00000-1773-1860"/>
    <s v="FN00"/>
    <s v="00000"/>
    <s v="1773"/>
    <s v="1860"/>
    <s v="FN00PIPE"/>
    <n v="20"/>
    <s v="NEW CONST APPL CONNECT"/>
    <s v="GAS PLUMBING SERVICES INC"/>
    <s v="76719"/>
    <s v="VO892724"/>
    <d v="2021-12-13T00:00:00"/>
    <d v="2021-12-14T00:00:00"/>
    <s v="Yes"/>
  </r>
  <r>
    <x v="0"/>
    <x v="0"/>
    <s v="FC00"/>
    <s v="JRNL00547437"/>
    <s v="FN00-00000-1773-1860"/>
    <s v="FN00"/>
    <s v="00000"/>
    <s v="1773"/>
    <s v="1860"/>
    <s v="FN00PIPE"/>
    <n v="205"/>
    <s v="NEW CONST APPL CONNECT"/>
    <s v="GAS PLUMBING SERVICES INC"/>
    <s v="76737"/>
    <s v="VO892725"/>
    <d v="2021-12-13T00:00:00"/>
    <d v="2021-12-14T00:00:00"/>
    <s v="Yes"/>
  </r>
  <r>
    <x v="0"/>
    <x v="0"/>
    <s v="FC00"/>
    <s v="JRNL00547437"/>
    <s v="FN00-00000-1773-1860"/>
    <s v="FN00"/>
    <s v="00000"/>
    <s v="1773"/>
    <s v="1860"/>
    <s v="FN00PIPE"/>
    <n v="95"/>
    <s v="NEW CONST APPL CONNECT"/>
    <s v="GAS PLUMBING SERVICES INC"/>
    <s v="76740"/>
    <s v="VO892726"/>
    <d v="2021-12-13T00:00:00"/>
    <d v="2021-12-14T00:00:00"/>
    <s v="Yes"/>
  </r>
  <r>
    <x v="0"/>
    <x v="0"/>
    <s v="FC00"/>
    <s v="JRNL00547437"/>
    <s v="FN00-00000-1773-1860"/>
    <s v="FN00"/>
    <s v="00000"/>
    <s v="1773"/>
    <s v="1860"/>
    <s v="FN00PIPE"/>
    <n v="180"/>
    <s v="NEW CONST APPL CONNECT"/>
    <s v="GAS PLUMBING SERVICES INC"/>
    <s v="76736"/>
    <s v="VO892727"/>
    <d v="2021-12-13T00:00:00"/>
    <d v="2021-12-14T00:00:00"/>
    <s v="Yes"/>
  </r>
  <r>
    <x v="1"/>
    <x v="0"/>
    <s v="FC00"/>
    <s v="JRNL00547825"/>
    <s v="FN43-00000-1773-1860"/>
    <s v="FN43"/>
    <s v="00000"/>
    <s v="1773"/>
    <s v="1860"/>
    <s v="FN41CONV"/>
    <n v="350"/>
    <s v="12/06/2021 - 12/12/2021"/>
    <s v="BLACKHAWK ENGAGEMENT SOLUTIONS INC"/>
    <s v="2021026826"/>
    <s v="VO895361"/>
    <d v="2021-12-28T00:00:00"/>
    <d v="2021-12-28T00:00:00"/>
    <s v="Yes"/>
  </r>
  <r>
    <x v="1"/>
    <x v="0"/>
    <s v="FC00"/>
    <s v="JRNL00547825"/>
    <s v="FN43-00000-1773-1860"/>
    <s v="FN43"/>
    <s v="00000"/>
    <s v="1773"/>
    <s v="1860"/>
    <s v="FN41CONV"/>
    <n v="350"/>
    <s v="12/13/2021 - 12/19/2021"/>
    <s v="BLACKHAWK ENGAGEMENT SOLUTIONS INC"/>
    <s v="2021027418"/>
    <s v="VO895362"/>
    <d v="2021-12-28T00:00:00"/>
    <d v="2021-12-28T00:00:00"/>
    <s v="Yes"/>
  </r>
  <r>
    <x v="1"/>
    <x v="0"/>
    <s v="FC00"/>
    <s v="JRNL00547825"/>
    <s v="FN43-00000-1773-1860"/>
    <s v="FN43"/>
    <s v="00000"/>
    <s v="1773"/>
    <s v="1860"/>
    <s v="FN43CONV"/>
    <n v="350"/>
    <s v="12/13/2021 - 12/19/2021"/>
    <s v="BLACKHAWK ENGAGEMENT SOLUTIONS INC"/>
    <s v="2021027418"/>
    <s v="VO895362"/>
    <d v="2021-12-28T00:00:00"/>
    <d v="2021-12-28T00:00:00"/>
    <s v="Yes"/>
  </r>
  <r>
    <x v="1"/>
    <x v="2"/>
    <s v="FC00"/>
    <s v="JRNL00548272"/>
    <s v="FN41-00000-1773-1860"/>
    <s v="FN41"/>
    <s v="00000"/>
    <s v="1773"/>
    <s v="1860"/>
    <s v="FN43CONV"/>
    <n v="2100"/>
    <s v="WPB MISC DEF DEB-CONVERSION TANKLESS WH"/>
    <s v=""/>
    <s v=""/>
    <s v="JRNL00548272"/>
    <d v="2021-12-31T00:00:00"/>
    <d v="2022-01-06T00:00:00"/>
    <s v="Yes"/>
  </r>
  <r>
    <x v="0"/>
    <x v="2"/>
    <s v="FC00"/>
    <s v="JRNL00548272"/>
    <s v="FN43-00000-1773-1860"/>
    <s v="FN43"/>
    <s v="00000"/>
    <s v="1773"/>
    <s v="1860"/>
    <s v="FN43PIPE"/>
    <n v="870.84"/>
    <s v="CEN NEW RES - PIPING CONVERSION ALLO"/>
    <s v=""/>
    <s v=""/>
    <s v="JRNL00548272"/>
    <d v="2021-12-31T00:00:00"/>
    <d v="2022-01-06T00:00:00"/>
    <s v="Yes"/>
  </r>
  <r>
    <x v="1"/>
    <x v="2"/>
    <s v="FC00"/>
    <s v="JRNL00548272"/>
    <s v="FN43-00000-1773-1860"/>
    <s v="FN43"/>
    <s v="00000"/>
    <s v="1773"/>
    <s v="1860"/>
    <s v="FN43CONV"/>
    <n v="1050"/>
    <s v="CEN MISC DEF DEBIT-CONV TANKLESS WH"/>
    <s v=""/>
    <s v=""/>
    <s v="JRNL00548272"/>
    <d v="2021-12-31T00:00:00"/>
    <d v="2022-01-06T00:00:00"/>
    <s v="Ye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dataOnRows="1" applyNumberFormats="0" applyBorderFormats="0" applyFontFormats="0" applyPatternFormats="0" applyAlignmentFormats="0" applyWidthHeightFormats="1" dataCaption="Data" updatedVersion="6" showMemberPropertyTips="0" useAutoFormatting="1" itemPrintTitles="1" createdVersion="1" indent="0" compact="0" compactData="0" gridDropZones="1">
  <location ref="B44:D53" firstHeaderRow="2" firstDataRow="2" firstDataCol="2"/>
  <pivotFields count="18">
    <pivotField axis="axisRow" compact="0" outline="0" subtotalTop="0" showAll="0" includeNewItemsInFilter="1">
      <items count="4">
        <item x="1"/>
        <item x="0"/>
        <item m="1" x="2"/>
        <item t="default"/>
      </items>
    </pivotField>
    <pivotField axis="axisRow" compact="0" outline="0" subtotalTop="0" showAll="0" includeNewItemsInFilter="1">
      <items count="4">
        <item x="1"/>
        <item x="2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numFmtId="168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4" outline="0" subtotalTop="0" showAll="0" includeNewItemsInFilter="1"/>
    <pivotField compact="0" numFmtId="14" outline="0" subtotalTop="0" showAll="0" includeNewItemsInFilter="1"/>
    <pivotField compact="0" outline="0" subtotalTop="0" showAll="0" includeNewItemsInFilter="1"/>
  </pivotFields>
  <rowFields count="2">
    <field x="0"/>
    <field x="1"/>
  </rowFields>
  <rowItems count="8">
    <i>
      <x/>
      <x v="1"/>
    </i>
    <i r="1">
      <x v="2"/>
    </i>
    <i t="default">
      <x/>
    </i>
    <i>
      <x v="1"/>
      <x/>
    </i>
    <i r="1">
      <x v="1"/>
    </i>
    <i r="1">
      <x v="2"/>
    </i>
    <i t="default">
      <x v="1"/>
    </i>
    <i t="grand">
      <x/>
    </i>
  </rowItems>
  <colItems count="1">
    <i/>
  </colItems>
  <dataFields count="1">
    <dataField name="Sum of Amount" fld="10" baseField="0" baseItem="0" numFmtId="40"/>
  </dataFields>
  <formats count="9">
    <format dxfId="26">
      <pivotArea outline="0" fieldPosition="0">
        <references count="1">
          <reference field="0" count="0" selected="0"/>
        </references>
      </pivotArea>
    </format>
    <format dxfId="25">
      <pivotArea type="all" dataOnly="0" outline="0" fieldPosition="0"/>
    </format>
    <format dxfId="24">
      <pivotArea outline="0" fieldPosition="0"/>
    </format>
    <format dxfId="23">
      <pivotArea type="topRight" dataOnly="0" labelOnly="1" outline="0" fieldPosition="0"/>
    </format>
    <format dxfId="22">
      <pivotArea dataOnly="0" labelOnly="1" outline="0" fieldPosition="0">
        <references count="1">
          <reference field="0" count="0"/>
        </references>
      </pivotArea>
    </format>
    <format dxfId="21">
      <pivotArea dataOnly="0" labelOnly="1" outline="0" fieldPosition="0">
        <references count="1">
          <reference field="0" count="0" defaultSubtotal="1"/>
        </references>
      </pivotArea>
    </format>
    <format dxfId="20">
      <pivotArea dataOnly="0" labelOnly="1" grandRow="1" outline="0" fieldPosition="0"/>
    </format>
    <format dxfId="19">
      <pivotArea dataOnly="0" labelOnly="1" outline="0" fieldPosition="0">
        <references count="2">
          <reference field="0" count="1" selected="0">
            <x v="0"/>
          </reference>
          <reference field="1" count="3">
            <x v="0"/>
            <x v="1"/>
            <x v="2"/>
          </reference>
        </references>
      </pivotArea>
    </format>
    <format dxfId="18">
      <pivotArea dataOnly="0" labelOnly="1" outline="0" fieldPosition="0">
        <references count="2">
          <reference field="0" count="1" selected="0">
            <x v="1"/>
          </reference>
          <reference field="1" count="3">
            <x v="0"/>
            <x v="1"/>
            <x v="2"/>
          </reference>
        </references>
      </pivotArea>
    </format>
  </formats>
  <pivotTableStyleInfo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ble1" displayName="Table1" ref="B1:R38" totalsRowCount="1">
  <autoFilter ref="B1:R37"/>
  <tableColumns count="17">
    <tableColumn id="1" name="Journal_Type" totalsRowDxfId="17"/>
    <tableColumn id="2" name="Originating_Org" totalsRowDxfId="16"/>
    <tableColumn id="3" name="Journal_Number" totalsRowDxfId="15"/>
    <tableColumn id="4" name="Account_Code" totalsRowDxfId="14"/>
    <tableColumn id="5" name="Seg1_Code" totalsRowDxfId="13"/>
    <tableColumn id="6" name="Seg2_Code" totalsRowDxfId="12"/>
    <tableColumn id="7" name="Seg3_Code" totalsRowDxfId="11"/>
    <tableColumn id="8" name="Seg4_Code" totalsRowDxfId="10"/>
    <tableColumn id="9" name="Reference_Code" dataDxfId="9" totalsRowDxfId="8"/>
    <tableColumn id="10" name="Amount" totalsRowDxfId="7"/>
    <tableColumn id="11" name="Description" totalsRowDxfId="6"/>
    <tableColumn id="12" name="Vendor_Name" totalsRowDxfId="5"/>
    <tableColumn id="13" name="Document_1" totalsRowDxfId="4"/>
    <tableColumn id="14" name="Document_2" totalsRowDxfId="3"/>
    <tableColumn id="15" name="Apply_Date" totalsRowDxfId="2"/>
    <tableColumn id="16" name="Posted_Date" totalsRowDxfId="1"/>
    <tableColumn id="17" name="Posted_Status" totalsRow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tabSelected="1" zoomScaleNormal="100" workbookViewId="0">
      <selection activeCell="H58" sqref="H58"/>
    </sheetView>
  </sheetViews>
  <sheetFormatPr defaultRowHeight="15"/>
  <cols>
    <col min="3" max="3" width="11.5546875" bestFit="1" customWidth="1"/>
    <col min="4" max="4" width="12.77734375" bestFit="1" customWidth="1"/>
    <col min="5" max="5" width="13.6640625" bestFit="1" customWidth="1"/>
    <col min="6" max="6" width="11" customWidth="1"/>
    <col min="7" max="7" width="10.44140625" bestFit="1" customWidth="1"/>
    <col min="8" max="8" width="10.109375" bestFit="1" customWidth="1"/>
    <col min="9" max="9" width="12.44140625" customWidth="1"/>
    <col min="10" max="10" width="41.6640625" bestFit="1" customWidth="1"/>
    <col min="11" max="11" width="10.44140625" customWidth="1"/>
    <col min="12" max="12" width="10" bestFit="1" customWidth="1"/>
    <col min="13" max="13" width="6.5546875" style="148" customWidth="1"/>
    <col min="16" max="16" width="11.88671875" bestFit="1" customWidth="1"/>
  </cols>
  <sheetData>
    <row r="1" spans="1:13">
      <c r="A1" s="76" t="s">
        <v>19</v>
      </c>
      <c r="C1" s="21"/>
      <c r="D1" s="21"/>
      <c r="E1" s="21"/>
    </row>
    <row r="2" spans="1:13">
      <c r="A2" s="76" t="s">
        <v>90</v>
      </c>
      <c r="B2" s="76"/>
      <c r="C2" s="76"/>
      <c r="D2" s="76"/>
    </row>
    <row r="3" spans="1:13">
      <c r="A3" s="76" t="s">
        <v>91</v>
      </c>
      <c r="B3" s="76"/>
      <c r="C3" s="76"/>
      <c r="D3" s="76"/>
    </row>
    <row r="4" spans="1:13">
      <c r="A4" s="76" t="s">
        <v>55</v>
      </c>
      <c r="B4" s="76"/>
      <c r="C4" s="76"/>
      <c r="D4" s="76"/>
    </row>
    <row r="5" spans="1:13">
      <c r="C5" s="57"/>
      <c r="D5" s="21"/>
      <c r="E5" s="21"/>
    </row>
    <row r="6" spans="1:13">
      <c r="A6" s="70" t="s">
        <v>58</v>
      </c>
      <c r="C6" s="429">
        <v>44561</v>
      </c>
      <c r="D6" s="21"/>
      <c r="E6" s="21"/>
    </row>
    <row r="7" spans="1:13">
      <c r="C7" s="70"/>
      <c r="D7" s="21"/>
      <c r="E7" s="21"/>
    </row>
    <row r="9" spans="1:13">
      <c r="D9" s="21"/>
      <c r="E9" s="21"/>
    </row>
    <row r="10" spans="1:13">
      <c r="B10" s="70" t="s">
        <v>106</v>
      </c>
      <c r="D10" s="21"/>
      <c r="E10" s="21"/>
    </row>
    <row r="11" spans="1:13">
      <c r="B11" s="70"/>
      <c r="D11" s="21"/>
      <c r="E11" s="21"/>
      <c r="L11" s="148"/>
      <c r="M11"/>
    </row>
    <row r="12" spans="1:13" ht="15.75">
      <c r="C12" s="70"/>
      <c r="J12" s="424"/>
      <c r="K12" s="424"/>
      <c r="L12" s="148"/>
      <c r="M12"/>
    </row>
    <row r="13" spans="1:13" ht="15.75">
      <c r="C13" s="21" t="s">
        <v>112</v>
      </c>
      <c r="D13" s="428">
        <f>'PIPING FN__ INPUT'!P20</f>
        <v>602908.23</v>
      </c>
      <c r="G13" s="21"/>
      <c r="H13" s="74"/>
      <c r="J13" s="424"/>
      <c r="K13" s="424"/>
      <c r="L13" s="148"/>
      <c r="M13"/>
    </row>
    <row r="14" spans="1:13" ht="15.75">
      <c r="C14" s="21"/>
      <c r="D14" s="74"/>
      <c r="G14" s="21"/>
      <c r="H14" s="74"/>
      <c r="J14" s="424"/>
      <c r="K14" s="424"/>
      <c r="L14" s="148"/>
      <c r="M14"/>
    </row>
    <row r="15" spans="1:13" ht="15.75">
      <c r="C15" s="21" t="s">
        <v>114</v>
      </c>
      <c r="D15" s="428">
        <f>'CONV FN__ INPUT'!R20</f>
        <v>180487.41766666673</v>
      </c>
      <c r="E15" s="148"/>
      <c r="G15" s="21"/>
      <c r="H15" s="74"/>
      <c r="J15" s="424"/>
      <c r="K15" s="424"/>
      <c r="L15" s="148"/>
      <c r="M15"/>
    </row>
    <row r="16" spans="1:13">
      <c r="C16" s="21"/>
      <c r="E16" s="74"/>
      <c r="G16" s="21"/>
      <c r="I16" s="74"/>
      <c r="L16" s="426"/>
      <c r="M16"/>
    </row>
    <row r="17" spans="3:13" ht="15.75">
      <c r="C17" s="145" t="s">
        <v>37</v>
      </c>
      <c r="D17" s="61"/>
      <c r="E17" s="146">
        <f>SUM(D13:D15)</f>
        <v>783395.64766666666</v>
      </c>
      <c r="G17" s="423"/>
      <c r="H17" s="61"/>
      <c r="I17" s="146"/>
      <c r="K17" s="425"/>
      <c r="L17" s="148"/>
      <c r="M17"/>
    </row>
    <row r="18" spans="3:13" ht="15.75">
      <c r="C18" s="21"/>
      <c r="E18" s="74"/>
      <c r="G18" s="21"/>
      <c r="I18" s="264"/>
      <c r="K18" s="425"/>
      <c r="L18" s="148"/>
      <c r="M18"/>
    </row>
    <row r="19" spans="3:13" ht="15.75">
      <c r="C19" s="70" t="s">
        <v>53</v>
      </c>
      <c r="D19" s="61"/>
      <c r="E19" s="428">
        <f>H57</f>
        <v>783395.65000000014</v>
      </c>
      <c r="G19" s="319"/>
      <c r="H19" s="61"/>
      <c r="I19" s="265"/>
    </row>
    <row r="20" spans="3:13" ht="15.75">
      <c r="C20" s="70"/>
      <c r="D20" s="61"/>
      <c r="E20" s="146"/>
      <c r="G20" s="70"/>
      <c r="H20" s="61"/>
      <c r="I20" s="266"/>
    </row>
    <row r="21" spans="3:13" ht="15.75" thickBot="1">
      <c r="C21" s="147" t="s">
        <v>54</v>
      </c>
      <c r="E21" s="75">
        <f>+E17-E19</f>
        <v>-2.333333482965827E-3</v>
      </c>
      <c r="F21" s="185"/>
      <c r="G21" s="147"/>
      <c r="I21" s="264"/>
    </row>
    <row r="22" spans="3:13" ht="15.75" thickTop="1">
      <c r="C22" s="21"/>
      <c r="D22" s="74"/>
      <c r="E22" s="21"/>
      <c r="I22" s="176"/>
      <c r="J22" s="463"/>
    </row>
    <row r="23" spans="3:13">
      <c r="C23" s="21"/>
      <c r="D23" s="74"/>
      <c r="E23" s="261"/>
      <c r="I23" s="176"/>
    </row>
    <row r="24" spans="3:13">
      <c r="C24" s="21"/>
      <c r="D24" s="74"/>
      <c r="E24" s="21"/>
      <c r="I24" s="176"/>
    </row>
    <row r="25" spans="3:13">
      <c r="C25" s="21"/>
      <c r="D25" s="74"/>
      <c r="E25" s="261"/>
      <c r="I25" s="176"/>
    </row>
    <row r="26" spans="3:13">
      <c r="I26" s="176"/>
    </row>
    <row r="29" spans="3:13" ht="15.75">
      <c r="F29" s="78" t="s">
        <v>88</v>
      </c>
      <c r="G29" s="78" t="s">
        <v>89</v>
      </c>
    </row>
    <row r="31" spans="3:13">
      <c r="E31" s="76" t="s">
        <v>56</v>
      </c>
      <c r="F31" s="81" t="s">
        <v>139</v>
      </c>
      <c r="G31" s="251">
        <f ca="1">TODAY()</f>
        <v>44735</v>
      </c>
    </row>
    <row r="32" spans="3:13">
      <c r="E32" s="76" t="s">
        <v>57</v>
      </c>
      <c r="F32" s="79"/>
      <c r="G32" s="80"/>
    </row>
    <row r="42" spans="5:5">
      <c r="E42" s="148"/>
    </row>
    <row r="43" spans="5:5">
      <c r="E43" s="148"/>
    </row>
    <row r="44" spans="5:5">
      <c r="E44" s="148"/>
    </row>
    <row r="57" spans="8:8">
      <c r="H57" s="463">
        <f>1321992.33+662458.37-1203855.05+2800</f>
        <v>783395.65000000014</v>
      </c>
    </row>
  </sheetData>
  <sheetProtection sheet="1"/>
  <pageMargins left="0.7" right="0.7" top="0.75" bottom="0.75" header="0.3" footer="0.3"/>
  <pageSetup scale="77" orientation="portrait" r:id="rId1"/>
  <headerFooter>
    <oddFooter>&amp;L&amp;9&amp;Z&amp;F_&amp;A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FFC000"/>
    <pageSetUpPr fitToPage="1"/>
  </sheetPr>
  <dimension ref="A1:Q29"/>
  <sheetViews>
    <sheetView topLeftCell="E7" workbookViewId="0">
      <selection activeCell="N20" sqref="N20"/>
    </sheetView>
  </sheetViews>
  <sheetFormatPr defaultRowHeight="15"/>
  <cols>
    <col min="1" max="1" width="17.33203125" style="2" customWidth="1"/>
    <col min="2" max="2" width="14.109375" style="2" bestFit="1" customWidth="1"/>
    <col min="3" max="3" width="12.77734375" style="273" bestFit="1" customWidth="1"/>
    <col min="4" max="4" width="13.21875" style="273" bestFit="1" customWidth="1"/>
    <col min="5" max="7" width="12.6640625" style="273" customWidth="1"/>
    <col min="8" max="8" width="12.5546875" style="273" customWidth="1"/>
    <col min="9" max="9" width="12.88671875" style="273" bestFit="1" customWidth="1"/>
    <col min="10" max="10" width="13.77734375" style="273" customWidth="1"/>
    <col min="11" max="11" width="10.88671875" style="273" customWidth="1"/>
    <col min="12" max="12" width="11.6640625" style="273" customWidth="1"/>
    <col min="13" max="13" width="13.109375" style="273" customWidth="1"/>
    <col min="14" max="14" width="14.88671875" style="273" bestFit="1" customWidth="1"/>
    <col min="15" max="15" width="13.21875" style="2" bestFit="1" customWidth="1"/>
    <col min="16" max="16" width="14.5546875" style="2" bestFit="1" customWidth="1"/>
    <col min="17" max="17" width="11.33203125" bestFit="1" customWidth="1"/>
  </cols>
  <sheetData>
    <row r="1" spans="1:16" ht="18">
      <c r="A1" s="175" t="s">
        <v>19</v>
      </c>
      <c r="B1" s="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2"/>
      <c r="O1" s="57"/>
      <c r="P1" s="1"/>
    </row>
    <row r="2" spans="1:16" ht="18">
      <c r="A2" s="175" t="s">
        <v>110</v>
      </c>
      <c r="B2" s="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2"/>
      <c r="O2" s="57"/>
      <c r="P2" s="1"/>
    </row>
    <row r="3" spans="1:16" ht="18">
      <c r="A3" s="175" t="s">
        <v>45</v>
      </c>
      <c r="B3" s="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2"/>
      <c r="O3" s="57"/>
      <c r="P3" s="1"/>
    </row>
    <row r="4" spans="1:16" ht="18">
      <c r="A4" s="175" t="s">
        <v>27</v>
      </c>
      <c r="B4" s="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2"/>
      <c r="O4" s="69"/>
      <c r="P4" s="1"/>
    </row>
    <row r="5" spans="1:16" ht="18">
      <c r="A5" s="175" t="s">
        <v>105</v>
      </c>
      <c r="B5" s="268">
        <f>Reconciliation!$C$6</f>
        <v>44561</v>
      </c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2"/>
      <c r="O5" s="56"/>
      <c r="P5" s="1"/>
    </row>
    <row r="6" spans="1:16">
      <c r="A6" s="71" t="s">
        <v>42</v>
      </c>
      <c r="O6" s="55"/>
    </row>
    <row r="7" spans="1:16" s="38" customFormat="1" ht="58.5" customHeight="1" thickBot="1">
      <c r="A7" s="40" t="s">
        <v>1</v>
      </c>
      <c r="B7" s="72" t="s">
        <v>26</v>
      </c>
      <c r="C7" s="274" t="s">
        <v>59</v>
      </c>
      <c r="D7" s="275" t="s">
        <v>76</v>
      </c>
      <c r="E7" s="276" t="s">
        <v>48</v>
      </c>
      <c r="F7" s="277" t="s">
        <v>49</v>
      </c>
      <c r="G7" s="278" t="s">
        <v>43</v>
      </c>
      <c r="H7" s="278" t="s">
        <v>47</v>
      </c>
      <c r="I7" s="279" t="s">
        <v>40</v>
      </c>
      <c r="J7" s="278" t="s">
        <v>41</v>
      </c>
      <c r="K7" s="278" t="s">
        <v>122</v>
      </c>
      <c r="L7" s="278" t="s">
        <v>23</v>
      </c>
      <c r="M7" s="278" t="s">
        <v>87</v>
      </c>
      <c r="N7" s="280" t="s">
        <v>25</v>
      </c>
      <c r="O7" s="41" t="s">
        <v>24</v>
      </c>
      <c r="P7" s="42" t="s">
        <v>15</v>
      </c>
    </row>
    <row r="8" spans="1:16" ht="24.95" customHeight="1" thickTop="1">
      <c r="A8" s="174" t="s">
        <v>141</v>
      </c>
      <c r="B8" s="43"/>
      <c r="C8" s="281">
        <v>-559389.32000000018</v>
      </c>
      <c r="D8" s="282">
        <v>2199960.7400000002</v>
      </c>
      <c r="E8" s="282">
        <v>52569.240000000005</v>
      </c>
      <c r="F8" s="282">
        <v>16849.639999999996</v>
      </c>
      <c r="G8" s="282">
        <v>-5277.85</v>
      </c>
      <c r="H8" s="282">
        <v>67802.34</v>
      </c>
      <c r="I8" s="282">
        <v>-7650.93</v>
      </c>
      <c r="J8" s="282">
        <v>141002.63</v>
      </c>
      <c r="K8" s="282">
        <v>106.75</v>
      </c>
      <c r="L8" s="282">
        <v>22309.86</v>
      </c>
      <c r="M8" s="282">
        <v>11185</v>
      </c>
      <c r="N8" s="283">
        <f>173555.46</f>
        <v>173555.46</v>
      </c>
      <c r="O8" s="64">
        <v>-177027.57000000004</v>
      </c>
      <c r="P8" s="64">
        <f>619698.45</f>
        <v>619698.44999999995</v>
      </c>
    </row>
    <row r="9" spans="1:16" ht="24.95" customHeight="1">
      <c r="A9" s="44" t="s">
        <v>3</v>
      </c>
      <c r="B9" s="45" t="s">
        <v>38</v>
      </c>
      <c r="C9" s="430">
        <v>-564.32000000000005</v>
      </c>
      <c r="D9" s="430">
        <v>7638.5</v>
      </c>
      <c r="E9" s="430"/>
      <c r="F9" s="430">
        <v>5387.5</v>
      </c>
      <c r="G9" s="430"/>
      <c r="H9" s="430"/>
      <c r="I9" s="430"/>
      <c r="J9" s="430"/>
      <c r="K9" s="430"/>
      <c r="L9" s="430"/>
      <c r="M9" s="430"/>
      <c r="N9" s="284">
        <f t="shared" ref="N9:N20" si="0">SUM(C9:M9)</f>
        <v>12461.68</v>
      </c>
      <c r="O9" s="39">
        <f>-'PIPING FN__ AMORT'!J177</f>
        <v>-14824.190000000002</v>
      </c>
      <c r="P9" s="46">
        <f>IF(O9&lt;&gt;0,+P8+N9+O9,"")</f>
        <v>617335.93999999994</v>
      </c>
    </row>
    <row r="10" spans="1:16" ht="24.95" customHeight="1">
      <c r="A10" s="47" t="s">
        <v>4</v>
      </c>
      <c r="B10" s="20" t="str">
        <f>B9</f>
        <v>JE 2</v>
      </c>
      <c r="C10" s="431">
        <v>-2151.2600000000002</v>
      </c>
      <c r="D10" s="431">
        <v>32646.5</v>
      </c>
      <c r="E10" s="431"/>
      <c r="F10" s="431">
        <v>-4457.5</v>
      </c>
      <c r="G10" s="431"/>
      <c r="H10" s="431"/>
      <c r="I10" s="431"/>
      <c r="J10" s="431"/>
      <c r="K10" s="431"/>
      <c r="L10" s="431"/>
      <c r="M10" s="431"/>
      <c r="N10" s="285">
        <f t="shared" si="0"/>
        <v>26037.739999999998</v>
      </c>
      <c r="O10" s="6">
        <f>-'PIPING FN__ AMORT'!K177</f>
        <v>-15053.509999999998</v>
      </c>
      <c r="P10" s="48">
        <f>IF(O10&lt;&gt;0,+P9+N10+O10,"")</f>
        <v>628320.16999999993</v>
      </c>
    </row>
    <row r="11" spans="1:16" ht="24.95" customHeight="1">
      <c r="A11" s="44" t="s">
        <v>5</v>
      </c>
      <c r="B11" s="45" t="s">
        <v>38</v>
      </c>
      <c r="C11" s="430">
        <v>-859.54</v>
      </c>
      <c r="D11" s="430">
        <v>31095.34</v>
      </c>
      <c r="E11" s="430"/>
      <c r="F11" s="430">
        <v>-3633</v>
      </c>
      <c r="G11" s="430"/>
      <c r="H11" s="430"/>
      <c r="I11" s="430"/>
      <c r="J11" s="430"/>
      <c r="K11" s="430"/>
      <c r="L11" s="430"/>
      <c r="M11" s="430"/>
      <c r="N11" s="284">
        <f t="shared" si="0"/>
        <v>26602.799999999999</v>
      </c>
      <c r="O11" s="39">
        <f>-'PIPING FN__ AMORT'!L177</f>
        <v>-15149.660000000003</v>
      </c>
      <c r="P11" s="46">
        <f t="shared" ref="P11:P19" si="1">IF(O11&lt;&gt;0,+P10+N11+O11,"")</f>
        <v>639773.30999999994</v>
      </c>
    </row>
    <row r="12" spans="1:16" ht="24.95" customHeight="1">
      <c r="A12" s="47" t="s">
        <v>6</v>
      </c>
      <c r="B12" s="58" t="s">
        <v>38</v>
      </c>
      <c r="C12" s="431">
        <v>-808.84</v>
      </c>
      <c r="D12" s="431">
        <v>16992</v>
      </c>
      <c r="E12" s="431"/>
      <c r="F12" s="431">
        <v>-2104</v>
      </c>
      <c r="G12" s="431"/>
      <c r="H12" s="431"/>
      <c r="I12" s="431"/>
      <c r="J12" s="431"/>
      <c r="K12" s="431"/>
      <c r="L12" s="431"/>
      <c r="M12" s="431"/>
      <c r="N12" s="285">
        <f t="shared" si="0"/>
        <v>14079.16</v>
      </c>
      <c r="O12" s="6">
        <f>-'PIPING FN__ AMORT'!M177</f>
        <v>-15261.060000000003</v>
      </c>
      <c r="P12" s="48">
        <f t="shared" si="1"/>
        <v>638591.40999999992</v>
      </c>
    </row>
    <row r="13" spans="1:16" ht="24.95" customHeight="1">
      <c r="A13" s="44" t="s">
        <v>7</v>
      </c>
      <c r="B13" s="45" t="s">
        <v>86</v>
      </c>
      <c r="C13" s="430">
        <v>-2499</v>
      </c>
      <c r="D13" s="430">
        <v>20007.5</v>
      </c>
      <c r="E13" s="430"/>
      <c r="F13" s="430">
        <v>3266</v>
      </c>
      <c r="G13" s="430"/>
      <c r="H13" s="430"/>
      <c r="I13" s="430"/>
      <c r="J13" s="430"/>
      <c r="K13" s="430"/>
      <c r="L13" s="430"/>
      <c r="M13" s="430"/>
      <c r="N13" s="284">
        <f t="shared" si="0"/>
        <v>20774.5</v>
      </c>
      <c r="O13" s="214">
        <f>-'PIPING FN__ AMORT'!N177</f>
        <v>-15239.210000000003</v>
      </c>
      <c r="P13" s="215">
        <f t="shared" si="1"/>
        <v>644126.69999999995</v>
      </c>
    </row>
    <row r="14" spans="1:16" ht="24.95" customHeight="1">
      <c r="A14" s="47" t="s">
        <v>8</v>
      </c>
      <c r="B14" s="58" t="s">
        <v>38</v>
      </c>
      <c r="C14" s="432">
        <v>351.73</v>
      </c>
      <c r="D14" s="431">
        <v>11921.5</v>
      </c>
      <c r="E14" s="431"/>
      <c r="F14" s="431">
        <v>-6626</v>
      </c>
      <c r="G14" s="431"/>
      <c r="H14" s="431"/>
      <c r="I14" s="431"/>
      <c r="J14" s="431"/>
      <c r="K14" s="431"/>
      <c r="L14" s="431"/>
      <c r="M14" s="431"/>
      <c r="N14" s="285">
        <f t="shared" si="0"/>
        <v>5647.23</v>
      </c>
      <c r="O14" s="6">
        <f>-'PIPING FN__ AMORT'!O177</f>
        <v>-15234.460000000003</v>
      </c>
      <c r="P14" s="48">
        <f t="shared" si="1"/>
        <v>634539.47</v>
      </c>
    </row>
    <row r="15" spans="1:16" ht="24.95" customHeight="1">
      <c r="A15" s="44" t="s">
        <v>9</v>
      </c>
      <c r="B15" s="45" t="s">
        <v>38</v>
      </c>
      <c r="C15" s="430">
        <v>-614.98</v>
      </c>
      <c r="D15" s="430">
        <f>5229.5-1420.61</f>
        <v>3808.8900000000003</v>
      </c>
      <c r="E15" s="430"/>
      <c r="F15" s="430">
        <f>13177</f>
        <v>13177</v>
      </c>
      <c r="G15" s="430"/>
      <c r="H15" s="430"/>
      <c r="I15" s="430"/>
      <c r="J15" s="430"/>
      <c r="K15" s="430"/>
      <c r="L15" s="430"/>
      <c r="M15" s="430"/>
      <c r="N15" s="284">
        <f>SUM(C15:M15)</f>
        <v>16370.91</v>
      </c>
      <c r="O15" s="214">
        <f>-'PIPING FN__ AMORT'!P177</f>
        <v>-15309.260000000002</v>
      </c>
      <c r="P15" s="215">
        <f>IF(O15&lt;&gt;0,+P14+N15+O15,"")</f>
        <v>635601.12</v>
      </c>
    </row>
    <row r="16" spans="1:16" ht="24.95" customHeight="1">
      <c r="A16" s="47" t="s">
        <v>10</v>
      </c>
      <c r="B16" s="20" t="s">
        <v>34</v>
      </c>
      <c r="C16" s="431">
        <v>-369</v>
      </c>
      <c r="D16" s="431">
        <v>15576.26</v>
      </c>
      <c r="E16" s="431"/>
      <c r="F16" s="431">
        <v>-13177</v>
      </c>
      <c r="G16" s="431"/>
      <c r="H16" s="431"/>
      <c r="I16" s="431"/>
      <c r="J16" s="431"/>
      <c r="K16" s="431"/>
      <c r="L16" s="431"/>
      <c r="M16" s="431"/>
      <c r="N16" s="285">
        <f t="shared" si="0"/>
        <v>2030.2600000000002</v>
      </c>
      <c r="O16" s="6">
        <f>-'PIPING FN__ AMORT'!Q177</f>
        <v>-14776.770000000002</v>
      </c>
      <c r="P16" s="49">
        <f>IF(O16&lt;&gt;0,+P15+N16+O16,"")</f>
        <v>622854.61</v>
      </c>
    </row>
    <row r="17" spans="1:17" ht="24.95" customHeight="1">
      <c r="A17" s="44" t="s">
        <v>11</v>
      </c>
      <c r="B17" s="45" t="s">
        <v>34</v>
      </c>
      <c r="C17" s="433">
        <v>-184.5</v>
      </c>
      <c r="D17" s="430">
        <v>8828.5</v>
      </c>
      <c r="E17" s="430"/>
      <c r="F17" s="430">
        <v>0</v>
      </c>
      <c r="G17" s="430"/>
      <c r="H17" s="430"/>
      <c r="I17" s="430"/>
      <c r="J17" s="430"/>
      <c r="K17" s="430"/>
      <c r="L17" s="430"/>
      <c r="M17" s="430"/>
      <c r="N17" s="284">
        <f t="shared" si="0"/>
        <v>8644</v>
      </c>
      <c r="O17" s="214">
        <f>-'PIPING FN__ AMORT'!R177</f>
        <v>-14817.580000000002</v>
      </c>
      <c r="P17" s="215">
        <f>IF(O17&lt;&gt;0,+P16+N17+O17,"")</f>
        <v>616681.03</v>
      </c>
      <c r="Q17" s="36"/>
    </row>
    <row r="18" spans="1:17" ht="24.95" customHeight="1">
      <c r="A18" s="47" t="s">
        <v>12</v>
      </c>
      <c r="B18" s="20" t="s">
        <v>34</v>
      </c>
      <c r="C18" s="431">
        <v>-2738.03</v>
      </c>
      <c r="D18" s="431">
        <v>9364</v>
      </c>
      <c r="E18" s="431"/>
      <c r="F18" s="431">
        <v>6196</v>
      </c>
      <c r="G18" s="431"/>
      <c r="H18" s="431"/>
      <c r="I18" s="431"/>
      <c r="J18" s="431"/>
      <c r="K18" s="431"/>
      <c r="L18" s="431"/>
      <c r="M18" s="431"/>
      <c r="N18" s="285">
        <f t="shared" si="0"/>
        <v>12821.97</v>
      </c>
      <c r="O18" s="218">
        <f>-'PIPING FN__ AMORT'!S177</f>
        <v>-14805.840000000002</v>
      </c>
      <c r="P18" s="49">
        <f>IF(O18&lt;&gt;0,+P17+N18+O18,"")</f>
        <v>614697.16</v>
      </c>
    </row>
    <row r="19" spans="1:17" ht="24.95" customHeight="1">
      <c r="A19" s="44" t="s">
        <v>13</v>
      </c>
      <c r="B19" s="45" t="s">
        <v>34</v>
      </c>
      <c r="C19" s="433">
        <v>-1163.06</v>
      </c>
      <c r="D19" s="430">
        <v>19795</v>
      </c>
      <c r="E19" s="430"/>
      <c r="F19" s="430">
        <v>-4233.5</v>
      </c>
      <c r="G19" s="433"/>
      <c r="H19" s="433"/>
      <c r="I19" s="433"/>
      <c r="J19" s="433"/>
      <c r="K19" s="433"/>
      <c r="L19" s="433"/>
      <c r="M19" s="433"/>
      <c r="N19" s="286">
        <f t="shared" si="0"/>
        <v>14398.439999999999</v>
      </c>
      <c r="O19" s="219">
        <f>-'PIPING FN__ AMORT'!T177</f>
        <v>-14872.140000000001</v>
      </c>
      <c r="P19" s="220">
        <f t="shared" si="1"/>
        <v>614223.46</v>
      </c>
    </row>
    <row r="20" spans="1:17" ht="24.95" customHeight="1">
      <c r="A20" s="47" t="s">
        <v>14</v>
      </c>
      <c r="B20" s="20" t="s">
        <v>34</v>
      </c>
      <c r="C20" s="431">
        <v>870.84</v>
      </c>
      <c r="D20" s="431">
        <v>4464.5</v>
      </c>
      <c r="E20" s="431"/>
      <c r="F20" s="431">
        <v>-1962.5</v>
      </c>
      <c r="G20" s="431"/>
      <c r="H20" s="431"/>
      <c r="I20" s="431"/>
      <c r="J20" s="431"/>
      <c r="K20" s="431"/>
      <c r="L20" s="431"/>
      <c r="M20" s="431"/>
      <c r="N20" s="285">
        <f t="shared" si="0"/>
        <v>3372.84</v>
      </c>
      <c r="O20" s="218">
        <f>-'PIPING FN__ AMORT'!U177</f>
        <v>-14688.070000000002</v>
      </c>
      <c r="P20" s="49">
        <f>IF(O20&lt;&gt;0,+P19+N20+O20,"")</f>
        <v>602908.23</v>
      </c>
    </row>
    <row r="21" spans="1:17" ht="24.95" customHeight="1">
      <c r="A21" s="50" t="s">
        <v>2</v>
      </c>
      <c r="B21" s="51"/>
      <c r="C21" s="287">
        <f>SUM(C8:C20)</f>
        <v>-570119.28000000026</v>
      </c>
      <c r="D21" s="287">
        <f>SUM(D8:D20)</f>
        <v>2382099.23</v>
      </c>
      <c r="E21" s="287">
        <f t="shared" ref="E21:M21" si="2">SUM(E8:E20)</f>
        <v>52569.240000000005</v>
      </c>
      <c r="F21" s="287">
        <f t="shared" si="2"/>
        <v>8682.6399999999958</v>
      </c>
      <c r="G21" s="287">
        <f t="shared" si="2"/>
        <v>-5277.85</v>
      </c>
      <c r="H21" s="287">
        <f t="shared" si="2"/>
        <v>67802.34</v>
      </c>
      <c r="I21" s="287">
        <f t="shared" si="2"/>
        <v>-7650.93</v>
      </c>
      <c r="J21" s="287">
        <f t="shared" si="2"/>
        <v>141002.63</v>
      </c>
      <c r="K21" s="287">
        <f t="shared" si="2"/>
        <v>106.75</v>
      </c>
      <c r="L21" s="287">
        <f t="shared" si="2"/>
        <v>22309.86</v>
      </c>
      <c r="M21" s="287">
        <f t="shared" si="2"/>
        <v>11185</v>
      </c>
      <c r="N21" s="288">
        <f>SUM(N9:N20)</f>
        <v>163241.53</v>
      </c>
      <c r="O21" s="51">
        <f>SUM(O9:O20)</f>
        <v>-180031.75000000003</v>
      </c>
      <c r="P21" s="52">
        <f>+P8+O21+N21</f>
        <v>602908.23</v>
      </c>
    </row>
    <row r="22" spans="1:17">
      <c r="A22" s="3" t="s">
        <v>0</v>
      </c>
      <c r="B22" s="5" t="s">
        <v>0</v>
      </c>
      <c r="C22" s="289"/>
      <c r="D22" s="290" t="s">
        <v>0</v>
      </c>
      <c r="E22" s="290"/>
      <c r="F22" s="290"/>
      <c r="G22" s="290"/>
      <c r="H22" s="290"/>
      <c r="I22" s="290"/>
      <c r="J22" s="290"/>
      <c r="K22" s="290"/>
      <c r="L22" s="290"/>
      <c r="M22" s="290"/>
      <c r="N22" s="291"/>
      <c r="O22" s="4"/>
      <c r="P22" s="4" t="s">
        <v>0</v>
      </c>
    </row>
    <row r="23" spans="1:17" ht="18.75">
      <c r="C23" s="292"/>
      <c r="D23" s="292"/>
      <c r="E23" s="292"/>
      <c r="H23" s="293"/>
      <c r="I23" s="293"/>
      <c r="J23" s="294"/>
      <c r="K23" s="294"/>
      <c r="L23" s="295"/>
      <c r="M23" s="296"/>
    </row>
    <row r="24" spans="1:17">
      <c r="C24" s="267"/>
      <c r="D24" s="267"/>
      <c r="E24" s="292"/>
    </row>
    <row r="25" spans="1:17">
      <c r="C25" s="267"/>
      <c r="D25" s="267"/>
      <c r="E25" s="292"/>
      <c r="O25" s="387"/>
    </row>
    <row r="26" spans="1:17">
      <c r="C26" s="267"/>
      <c r="D26" s="267"/>
      <c r="E26" s="292"/>
    </row>
    <row r="27" spans="1:17">
      <c r="C27" s="292"/>
      <c r="D27" s="292"/>
      <c r="E27" s="292"/>
    </row>
    <row r="28" spans="1:17">
      <c r="J28" s="297"/>
      <c r="K28" s="292"/>
    </row>
    <row r="29" spans="1:17">
      <c r="C29" s="298"/>
      <c r="D29" s="298"/>
      <c r="E29" s="298"/>
      <c r="F29" s="298"/>
      <c r="G29" s="298"/>
      <c r="H29" s="298"/>
      <c r="I29" s="298"/>
      <c r="J29" s="298"/>
      <c r="K29" s="298"/>
      <c r="L29" s="298"/>
      <c r="M29" s="298"/>
      <c r="N29" s="298"/>
    </row>
  </sheetData>
  <sheetProtection sheet="1"/>
  <phoneticPr fontId="0" type="noConversion"/>
  <printOptions horizontalCentered="1"/>
  <pageMargins left="0.75" right="0.5" top="0.75" bottom="0.3" header="0" footer="0.2"/>
  <pageSetup scale="48" orientation="landscape" r:id="rId1"/>
  <headerFooter alignWithMargins="0">
    <oddFooter xml:space="preserve">&amp;L&amp;10&amp;Z&amp;F_&amp;A
&amp;D_&amp;T
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FFC000"/>
    <pageSetUpPr fitToPage="1"/>
  </sheetPr>
  <dimension ref="A1:AC187"/>
  <sheetViews>
    <sheetView topLeftCell="A160" workbookViewId="0">
      <selection activeCell="B176" sqref="B176"/>
    </sheetView>
  </sheetViews>
  <sheetFormatPr defaultRowHeight="15.75"/>
  <cols>
    <col min="1" max="1" width="14.21875" customWidth="1"/>
    <col min="2" max="2" width="10.21875" bestFit="1" customWidth="1"/>
    <col min="3" max="3" width="7.21875" customWidth="1"/>
    <col min="4" max="4" width="11.88671875" style="68" customWidth="1"/>
    <col min="5" max="6" width="10.6640625" style="68" hidden="1" customWidth="1"/>
    <col min="7" max="7" width="8.5546875" customWidth="1"/>
    <col min="8" max="8" width="8" customWidth="1"/>
    <col min="9" max="9" width="9.109375" style="61" customWidth="1"/>
    <col min="10" max="10" width="12.88671875" bestFit="1" customWidth="1"/>
    <col min="11" max="11" width="11.44140625" customWidth="1"/>
    <col min="12" max="12" width="13.77734375" customWidth="1"/>
    <col min="13" max="13" width="12.5546875" bestFit="1" customWidth="1"/>
    <col min="14" max="14" width="12.109375" customWidth="1"/>
    <col min="15" max="15" width="12.88671875" bestFit="1" customWidth="1"/>
    <col min="16" max="16" width="12.6640625" bestFit="1" customWidth="1"/>
    <col min="17" max="17" width="12.5546875" bestFit="1" customWidth="1"/>
    <col min="18" max="19" width="12.33203125" bestFit="1" customWidth="1"/>
    <col min="20" max="20" width="13.109375" style="59" customWidth="1"/>
    <col min="21" max="21" width="12.33203125" bestFit="1" customWidth="1"/>
    <col min="22" max="22" width="17" bestFit="1" customWidth="1"/>
    <col min="23" max="23" width="13" customWidth="1"/>
    <col min="24" max="24" width="8.88671875" style="336"/>
    <col min="25" max="16384" width="8.88671875" style="176"/>
  </cols>
  <sheetData>
    <row r="1" spans="1:29" s="149" customFormat="1" ht="14.25">
      <c r="A1" s="492" t="s">
        <v>19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  <c r="R1" s="492"/>
      <c r="S1" s="492"/>
      <c r="T1" s="492"/>
      <c r="U1" s="492"/>
      <c r="V1" s="492"/>
      <c r="W1" s="492"/>
      <c r="X1" s="333"/>
    </row>
    <row r="2" spans="1:29" s="149" customFormat="1" ht="14.25">
      <c r="A2" s="492" t="s">
        <v>110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  <c r="R2" s="492"/>
      <c r="S2" s="492"/>
      <c r="T2" s="492"/>
      <c r="U2" s="492"/>
      <c r="V2" s="492"/>
      <c r="W2" s="492"/>
      <c r="X2" s="333"/>
    </row>
    <row r="3" spans="1:29" s="149" customFormat="1" ht="14.25">
      <c r="A3" s="492" t="s">
        <v>111</v>
      </c>
      <c r="B3" s="492"/>
      <c r="C3" s="492"/>
      <c r="D3" s="492"/>
      <c r="E3" s="492"/>
      <c r="F3" s="492"/>
      <c r="G3" s="492"/>
      <c r="H3" s="492"/>
      <c r="I3" s="492"/>
      <c r="J3" s="492"/>
      <c r="K3" s="492"/>
      <c r="L3" s="492"/>
      <c r="M3" s="492"/>
      <c r="N3" s="492"/>
      <c r="O3" s="492"/>
      <c r="P3" s="492"/>
      <c r="Q3" s="492"/>
      <c r="R3" s="492"/>
      <c r="S3" s="492"/>
      <c r="T3" s="492"/>
      <c r="U3" s="492"/>
      <c r="V3" s="492"/>
      <c r="W3" s="492"/>
      <c r="X3" s="333"/>
    </row>
    <row r="4" spans="1:29" s="149" customFormat="1" ht="14.25">
      <c r="A4" s="493" t="s">
        <v>92</v>
      </c>
      <c r="B4" s="493"/>
      <c r="C4" s="493"/>
      <c r="D4" s="493"/>
      <c r="E4" s="493"/>
      <c r="F4" s="493"/>
      <c r="G4" s="493"/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493"/>
      <c r="S4" s="493"/>
      <c r="T4" s="493"/>
      <c r="U4" s="493"/>
      <c r="V4" s="493"/>
      <c r="W4" s="493"/>
      <c r="X4" s="333"/>
    </row>
    <row r="5" spans="1:29" s="149" customFormat="1" ht="14.25">
      <c r="A5" s="494">
        <f>'PIPING FN__ INPUT'!B5</f>
        <v>44561</v>
      </c>
      <c r="B5" s="494"/>
      <c r="C5" s="494"/>
      <c r="D5" s="494"/>
      <c r="E5" s="494"/>
      <c r="F5" s="494"/>
      <c r="G5" s="494"/>
      <c r="H5" s="494"/>
      <c r="I5" s="494"/>
      <c r="J5" s="494"/>
      <c r="K5" s="494"/>
      <c r="L5" s="494"/>
      <c r="M5" s="494"/>
      <c r="N5" s="494"/>
      <c r="O5" s="494"/>
      <c r="P5" s="494"/>
      <c r="Q5" s="494"/>
      <c r="R5" s="494"/>
      <c r="S5" s="494"/>
      <c r="T5" s="494"/>
      <c r="U5" s="494"/>
      <c r="V5" s="494"/>
      <c r="W5" s="494"/>
      <c r="X5" s="333"/>
    </row>
    <row r="6" spans="1:29" s="149" customFormat="1" ht="15.75" customHeight="1">
      <c r="A6" s="438" t="s">
        <v>28</v>
      </c>
      <c r="B6" s="224"/>
      <c r="C6" s="224"/>
      <c r="D6" s="227"/>
      <c r="E6" s="227"/>
      <c r="F6" s="227"/>
      <c r="G6" s="224"/>
      <c r="H6" s="223"/>
      <c r="I6" s="228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333"/>
    </row>
    <row r="7" spans="1:29" s="149" customFormat="1" ht="64.5" thickBot="1">
      <c r="A7" s="53" t="s">
        <v>30</v>
      </c>
      <c r="B7" s="54" t="s">
        <v>32</v>
      </c>
      <c r="C7" s="54" t="s">
        <v>22</v>
      </c>
      <c r="D7" s="170" t="s">
        <v>143</v>
      </c>
      <c r="E7" s="170" t="s">
        <v>108</v>
      </c>
      <c r="F7" s="65" t="s">
        <v>109</v>
      </c>
      <c r="G7" s="54" t="s">
        <v>29</v>
      </c>
      <c r="H7" s="54" t="s">
        <v>16</v>
      </c>
      <c r="I7" s="54" t="s">
        <v>21</v>
      </c>
      <c r="J7" s="171">
        <v>44197</v>
      </c>
      <c r="K7" s="172">
        <f t="shared" ref="K7:U7" si="0">J7+31</f>
        <v>44228</v>
      </c>
      <c r="L7" s="172">
        <f t="shared" si="0"/>
        <v>44259</v>
      </c>
      <c r="M7" s="172">
        <f t="shared" si="0"/>
        <v>44290</v>
      </c>
      <c r="N7" s="172">
        <f t="shared" si="0"/>
        <v>44321</v>
      </c>
      <c r="O7" s="172">
        <f t="shared" si="0"/>
        <v>44352</v>
      </c>
      <c r="P7" s="172">
        <f t="shared" si="0"/>
        <v>44383</v>
      </c>
      <c r="Q7" s="172">
        <f t="shared" si="0"/>
        <v>44414</v>
      </c>
      <c r="R7" s="172">
        <f t="shared" si="0"/>
        <v>44445</v>
      </c>
      <c r="S7" s="172">
        <f t="shared" si="0"/>
        <v>44476</v>
      </c>
      <c r="T7" s="172">
        <f t="shared" si="0"/>
        <v>44507</v>
      </c>
      <c r="U7" s="172">
        <f t="shared" si="0"/>
        <v>44538</v>
      </c>
      <c r="V7" s="22" t="s">
        <v>20</v>
      </c>
      <c r="W7" s="173" t="s">
        <v>142</v>
      </c>
      <c r="X7" s="333"/>
    </row>
    <row r="8" spans="1:29" s="149" customFormat="1" ht="14.25">
      <c r="A8" s="152"/>
      <c r="B8" s="26"/>
      <c r="C8" s="24"/>
      <c r="D8" s="239"/>
      <c r="E8" s="232"/>
      <c r="F8" s="232"/>
      <c r="G8" s="11"/>
      <c r="H8" s="25"/>
      <c r="I8" s="16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2"/>
      <c r="W8" s="13"/>
      <c r="X8" s="337"/>
      <c r="Y8" s="241"/>
      <c r="Z8" s="241"/>
      <c r="AA8" s="241"/>
      <c r="AB8" s="241"/>
      <c r="AC8" s="241"/>
    </row>
    <row r="9" spans="1:29" s="149" customFormat="1" ht="14.25">
      <c r="A9" s="161">
        <v>6572.55</v>
      </c>
      <c r="B9" s="168"/>
      <c r="C9" s="160">
        <f t="shared" ref="C9:C40" si="1">+A9-ROUND(A9/84,2)*83</f>
        <v>78.630000000001019</v>
      </c>
      <c r="D9" s="250">
        <v>-0.01</v>
      </c>
      <c r="E9" s="242">
        <v>24</v>
      </c>
      <c r="F9" s="242" t="e">
        <f t="shared" ref="F9:F40" si="2">+E9*J9</f>
        <v>#VALUE!</v>
      </c>
      <c r="G9" s="162">
        <f t="shared" ref="G9:G40" si="3">+I9+2555</f>
        <v>42003</v>
      </c>
      <c r="H9" s="163">
        <f t="shared" ref="H9:H40" si="4">+ROUND((+A9-C9)/83,2)</f>
        <v>78.239999999999995</v>
      </c>
      <c r="I9" s="164">
        <v>39448</v>
      </c>
      <c r="J9" s="165" t="str">
        <f t="shared" ref="J9:U18" si="5">IF(J$7&lt;$I9,"",IF(J$7=$I9,+$C9,IF(J$7&lt;=$G9,+(ROUND(($A9-$C9)/83,2)),"- - DONE - -")))</f>
        <v>- - DONE - -</v>
      </c>
      <c r="K9" s="165" t="str">
        <f t="shared" si="5"/>
        <v>- - DONE - -</v>
      </c>
      <c r="L9" s="165" t="str">
        <f t="shared" si="5"/>
        <v>- - DONE - -</v>
      </c>
      <c r="M9" s="165" t="str">
        <f t="shared" si="5"/>
        <v>- - DONE - -</v>
      </c>
      <c r="N9" s="165" t="str">
        <f t="shared" si="5"/>
        <v>- - DONE - -</v>
      </c>
      <c r="O9" s="165" t="str">
        <f t="shared" si="5"/>
        <v>- - DONE - -</v>
      </c>
      <c r="P9" s="165" t="str">
        <f t="shared" si="5"/>
        <v>- - DONE - -</v>
      </c>
      <c r="Q9" s="165" t="str">
        <f t="shared" si="5"/>
        <v>- - DONE - -</v>
      </c>
      <c r="R9" s="165" t="str">
        <f t="shared" si="5"/>
        <v>- - DONE - -</v>
      </c>
      <c r="S9" s="165" t="str">
        <f t="shared" si="5"/>
        <v>- - DONE - -</v>
      </c>
      <c r="T9" s="165" t="str">
        <f t="shared" si="5"/>
        <v>- - DONE - -</v>
      </c>
      <c r="U9" s="167" t="str">
        <f t="shared" si="5"/>
        <v>- - DONE - -</v>
      </c>
      <c r="V9" s="166">
        <f t="shared" ref="V9:V40" si="6">SUM(J9:U9)</f>
        <v>0</v>
      </c>
      <c r="W9" s="165">
        <f t="shared" ref="W9:W40" si="7">D9-V9</f>
        <v>-0.01</v>
      </c>
      <c r="X9" s="337"/>
      <c r="Y9" s="241"/>
      <c r="Z9" s="241"/>
      <c r="AA9" s="241"/>
      <c r="AB9" s="241"/>
      <c r="AC9" s="241"/>
    </row>
    <row r="10" spans="1:29" s="149" customFormat="1" ht="14.25">
      <c r="A10" s="152">
        <v>6538.44</v>
      </c>
      <c r="B10" s="168"/>
      <c r="C10" s="24">
        <f t="shared" si="1"/>
        <v>77.719999999999345</v>
      </c>
      <c r="D10" s="249">
        <v>0</v>
      </c>
      <c r="E10" s="240">
        <v>25</v>
      </c>
      <c r="F10" s="240" t="e">
        <f t="shared" si="2"/>
        <v>#VALUE!</v>
      </c>
      <c r="G10" s="34">
        <f t="shared" si="3"/>
        <v>42034</v>
      </c>
      <c r="H10" s="35">
        <f t="shared" si="4"/>
        <v>77.84</v>
      </c>
      <c r="I10" s="157">
        <v>39479</v>
      </c>
      <c r="J10" s="60" t="str">
        <f t="shared" si="5"/>
        <v>- - DONE - -</v>
      </c>
      <c r="K10" s="60" t="str">
        <f t="shared" si="5"/>
        <v>- - DONE - -</v>
      </c>
      <c r="L10" s="60" t="str">
        <f t="shared" si="5"/>
        <v>- - DONE - -</v>
      </c>
      <c r="M10" s="60" t="str">
        <f t="shared" si="5"/>
        <v>- - DONE - -</v>
      </c>
      <c r="N10" s="60" t="str">
        <f t="shared" si="5"/>
        <v>- - DONE - -</v>
      </c>
      <c r="O10" s="60" t="str">
        <f t="shared" si="5"/>
        <v>- - DONE - -</v>
      </c>
      <c r="P10" s="60" t="str">
        <f t="shared" si="5"/>
        <v>- - DONE - -</v>
      </c>
      <c r="Q10" s="60" t="str">
        <f t="shared" si="5"/>
        <v>- - DONE - -</v>
      </c>
      <c r="R10" s="60" t="str">
        <f t="shared" si="5"/>
        <v>- - DONE - -</v>
      </c>
      <c r="S10" s="60" t="str">
        <f t="shared" si="5"/>
        <v>- - DONE - -</v>
      </c>
      <c r="T10" s="60" t="str">
        <f t="shared" si="5"/>
        <v>- - DONE - -</v>
      </c>
      <c r="U10" s="158" t="str">
        <f t="shared" si="5"/>
        <v>- - DONE - -</v>
      </c>
      <c r="V10" s="159">
        <f t="shared" si="6"/>
        <v>0</v>
      </c>
      <c r="W10" s="60">
        <f t="shared" si="7"/>
        <v>0</v>
      </c>
      <c r="X10" s="337"/>
      <c r="Y10" s="241"/>
      <c r="Z10" s="241"/>
      <c r="AA10" s="241"/>
      <c r="AB10" s="241"/>
      <c r="AC10" s="241"/>
    </row>
    <row r="11" spans="1:29" s="149" customFormat="1" ht="14.25">
      <c r="A11" s="152">
        <v>7382.35</v>
      </c>
      <c r="B11" s="168"/>
      <c r="C11" s="24">
        <f t="shared" si="1"/>
        <v>87.480000000000473</v>
      </c>
      <c r="D11" s="249">
        <v>0</v>
      </c>
      <c r="E11" s="240">
        <v>26</v>
      </c>
      <c r="F11" s="240" t="e">
        <f t="shared" si="2"/>
        <v>#VALUE!</v>
      </c>
      <c r="G11" s="34">
        <f t="shared" si="3"/>
        <v>42063</v>
      </c>
      <c r="H11" s="35">
        <f t="shared" si="4"/>
        <v>87.89</v>
      </c>
      <c r="I11" s="157">
        <v>39508</v>
      </c>
      <c r="J11" s="60" t="str">
        <f t="shared" si="5"/>
        <v>- - DONE - -</v>
      </c>
      <c r="K11" s="60" t="str">
        <f t="shared" si="5"/>
        <v>- - DONE - -</v>
      </c>
      <c r="L11" s="60" t="str">
        <f t="shared" si="5"/>
        <v>- - DONE - -</v>
      </c>
      <c r="M11" s="60" t="str">
        <f t="shared" si="5"/>
        <v>- - DONE - -</v>
      </c>
      <c r="N11" s="60" t="str">
        <f t="shared" si="5"/>
        <v>- - DONE - -</v>
      </c>
      <c r="O11" s="60" t="str">
        <f t="shared" si="5"/>
        <v>- - DONE - -</v>
      </c>
      <c r="P11" s="60" t="str">
        <f t="shared" si="5"/>
        <v>- - DONE - -</v>
      </c>
      <c r="Q11" s="60" t="str">
        <f t="shared" si="5"/>
        <v>- - DONE - -</v>
      </c>
      <c r="R11" s="60" t="str">
        <f t="shared" si="5"/>
        <v>- - DONE - -</v>
      </c>
      <c r="S11" s="60" t="str">
        <f t="shared" si="5"/>
        <v>- - DONE - -</v>
      </c>
      <c r="T11" s="60" t="str">
        <f t="shared" si="5"/>
        <v>- - DONE - -</v>
      </c>
      <c r="U11" s="158" t="str">
        <f t="shared" si="5"/>
        <v>- - DONE - -</v>
      </c>
      <c r="V11" s="159">
        <f t="shared" si="6"/>
        <v>0</v>
      </c>
      <c r="W11" s="60">
        <f t="shared" si="7"/>
        <v>0</v>
      </c>
      <c r="X11" s="337"/>
      <c r="Y11" s="241"/>
      <c r="Z11" s="241"/>
      <c r="AA11" s="241"/>
      <c r="AB11" s="241"/>
      <c r="AC11" s="241"/>
    </row>
    <row r="12" spans="1:29" s="149" customFormat="1" ht="14.25">
      <c r="A12" s="152">
        <v>6982.86</v>
      </c>
      <c r="B12" s="168"/>
      <c r="C12" s="24">
        <f t="shared" si="1"/>
        <v>83.069999999999709</v>
      </c>
      <c r="D12" s="249">
        <v>0</v>
      </c>
      <c r="E12" s="240">
        <v>27</v>
      </c>
      <c r="F12" s="240" t="e">
        <f t="shared" si="2"/>
        <v>#VALUE!</v>
      </c>
      <c r="G12" s="34">
        <f t="shared" si="3"/>
        <v>42094</v>
      </c>
      <c r="H12" s="35">
        <f t="shared" si="4"/>
        <v>83.13</v>
      </c>
      <c r="I12" s="157">
        <v>39539</v>
      </c>
      <c r="J12" s="60" t="str">
        <f t="shared" si="5"/>
        <v>- - DONE - -</v>
      </c>
      <c r="K12" s="60" t="str">
        <f t="shared" si="5"/>
        <v>- - DONE - -</v>
      </c>
      <c r="L12" s="60" t="str">
        <f t="shared" si="5"/>
        <v>- - DONE - -</v>
      </c>
      <c r="M12" s="60" t="str">
        <f t="shared" si="5"/>
        <v>- - DONE - -</v>
      </c>
      <c r="N12" s="60" t="str">
        <f t="shared" si="5"/>
        <v>- - DONE - -</v>
      </c>
      <c r="O12" s="60" t="str">
        <f t="shared" si="5"/>
        <v>- - DONE - -</v>
      </c>
      <c r="P12" s="60" t="str">
        <f t="shared" si="5"/>
        <v>- - DONE - -</v>
      </c>
      <c r="Q12" s="60" t="str">
        <f t="shared" si="5"/>
        <v>- - DONE - -</v>
      </c>
      <c r="R12" s="60" t="str">
        <f t="shared" si="5"/>
        <v>- - DONE - -</v>
      </c>
      <c r="S12" s="60" t="str">
        <f t="shared" si="5"/>
        <v>- - DONE - -</v>
      </c>
      <c r="T12" s="60" t="str">
        <f t="shared" si="5"/>
        <v>- - DONE - -</v>
      </c>
      <c r="U12" s="158" t="str">
        <f t="shared" si="5"/>
        <v>- - DONE - -</v>
      </c>
      <c r="V12" s="159">
        <f t="shared" si="6"/>
        <v>0</v>
      </c>
      <c r="W12" s="60">
        <f t="shared" si="7"/>
        <v>0</v>
      </c>
      <c r="X12" s="337"/>
      <c r="Y12" s="241"/>
      <c r="Z12" s="241"/>
      <c r="AA12" s="241"/>
      <c r="AB12" s="241"/>
      <c r="AC12" s="241"/>
    </row>
    <row r="13" spans="1:29" s="149" customFormat="1" ht="14.25">
      <c r="A13" s="152">
        <v>25358.23</v>
      </c>
      <c r="B13" s="168"/>
      <c r="C13" s="24">
        <f t="shared" si="1"/>
        <v>302.18999999999869</v>
      </c>
      <c r="D13" s="249">
        <v>0.27999999999997272</v>
      </c>
      <c r="E13" s="240">
        <v>28</v>
      </c>
      <c r="F13" s="240" t="e">
        <f t="shared" si="2"/>
        <v>#VALUE!</v>
      </c>
      <c r="G13" s="34">
        <f t="shared" si="3"/>
        <v>42124</v>
      </c>
      <c r="H13" s="35">
        <f t="shared" si="4"/>
        <v>301.88</v>
      </c>
      <c r="I13" s="157">
        <v>39569</v>
      </c>
      <c r="J13" s="60" t="str">
        <f t="shared" si="5"/>
        <v>- - DONE - -</v>
      </c>
      <c r="K13" s="60" t="str">
        <f t="shared" si="5"/>
        <v>- - DONE - -</v>
      </c>
      <c r="L13" s="60" t="str">
        <f t="shared" si="5"/>
        <v>- - DONE - -</v>
      </c>
      <c r="M13" s="60" t="str">
        <f t="shared" si="5"/>
        <v>- - DONE - -</v>
      </c>
      <c r="N13" s="60" t="str">
        <f t="shared" si="5"/>
        <v>- - DONE - -</v>
      </c>
      <c r="O13" s="60" t="str">
        <f t="shared" si="5"/>
        <v>- - DONE - -</v>
      </c>
      <c r="P13" s="60" t="str">
        <f t="shared" si="5"/>
        <v>- - DONE - -</v>
      </c>
      <c r="Q13" s="60" t="str">
        <f t="shared" si="5"/>
        <v>- - DONE - -</v>
      </c>
      <c r="R13" s="60" t="str">
        <f t="shared" si="5"/>
        <v>- - DONE - -</v>
      </c>
      <c r="S13" s="60" t="str">
        <f t="shared" si="5"/>
        <v>- - DONE - -</v>
      </c>
      <c r="T13" s="60" t="str">
        <f t="shared" si="5"/>
        <v>- - DONE - -</v>
      </c>
      <c r="U13" s="158" t="str">
        <f t="shared" si="5"/>
        <v>- - DONE - -</v>
      </c>
      <c r="V13" s="159">
        <f t="shared" si="6"/>
        <v>0</v>
      </c>
      <c r="W13" s="60">
        <f t="shared" si="7"/>
        <v>0.27999999999997272</v>
      </c>
      <c r="X13" s="337"/>
      <c r="Y13" s="241"/>
      <c r="Z13" s="241"/>
      <c r="AA13" s="241"/>
      <c r="AB13" s="241"/>
      <c r="AC13" s="241"/>
    </row>
    <row r="14" spans="1:29" s="149" customFormat="1" ht="14.25">
      <c r="A14" s="152">
        <v>10855.79</v>
      </c>
      <c r="B14" s="168"/>
      <c r="C14" s="24">
        <f t="shared" si="1"/>
        <v>128.8700000000008</v>
      </c>
      <c r="D14" s="249">
        <v>-0.29000000000007731</v>
      </c>
      <c r="E14" s="240">
        <v>29</v>
      </c>
      <c r="F14" s="240" t="e">
        <f t="shared" si="2"/>
        <v>#VALUE!</v>
      </c>
      <c r="G14" s="34">
        <f t="shared" si="3"/>
        <v>42155</v>
      </c>
      <c r="H14" s="35">
        <f t="shared" si="4"/>
        <v>129.24</v>
      </c>
      <c r="I14" s="157">
        <v>39600</v>
      </c>
      <c r="J14" s="60" t="str">
        <f t="shared" si="5"/>
        <v>- - DONE - -</v>
      </c>
      <c r="K14" s="60" t="str">
        <f t="shared" si="5"/>
        <v>- - DONE - -</v>
      </c>
      <c r="L14" s="60" t="str">
        <f t="shared" si="5"/>
        <v>- - DONE - -</v>
      </c>
      <c r="M14" s="60" t="str">
        <f t="shared" si="5"/>
        <v>- - DONE - -</v>
      </c>
      <c r="N14" s="60" t="str">
        <f t="shared" si="5"/>
        <v>- - DONE - -</v>
      </c>
      <c r="O14" s="60" t="str">
        <f t="shared" si="5"/>
        <v>- - DONE - -</v>
      </c>
      <c r="P14" s="60" t="str">
        <f t="shared" si="5"/>
        <v>- - DONE - -</v>
      </c>
      <c r="Q14" s="60" t="str">
        <f t="shared" si="5"/>
        <v>- - DONE - -</v>
      </c>
      <c r="R14" s="60" t="str">
        <f t="shared" si="5"/>
        <v>- - DONE - -</v>
      </c>
      <c r="S14" s="60" t="str">
        <f t="shared" si="5"/>
        <v>- - DONE - -</v>
      </c>
      <c r="T14" s="60" t="str">
        <f t="shared" si="5"/>
        <v>- - DONE - -</v>
      </c>
      <c r="U14" s="158" t="str">
        <f t="shared" si="5"/>
        <v>- - DONE - -</v>
      </c>
      <c r="V14" s="159">
        <f t="shared" si="6"/>
        <v>0</v>
      </c>
      <c r="W14" s="60">
        <f t="shared" si="7"/>
        <v>-0.29000000000007731</v>
      </c>
      <c r="X14" s="337"/>
      <c r="Y14" s="241"/>
      <c r="Z14" s="241"/>
      <c r="AA14" s="241"/>
      <c r="AB14" s="241"/>
      <c r="AC14" s="241"/>
    </row>
    <row r="15" spans="1:29" s="149" customFormat="1" ht="14.25">
      <c r="A15" s="152">
        <v>11718.85</v>
      </c>
      <c r="B15" s="168"/>
      <c r="C15" s="24">
        <f t="shared" si="1"/>
        <v>139.52000000000044</v>
      </c>
      <c r="D15" s="249">
        <v>0</v>
      </c>
      <c r="E15" s="240">
        <v>30</v>
      </c>
      <c r="F15" s="240" t="e">
        <f t="shared" si="2"/>
        <v>#VALUE!</v>
      </c>
      <c r="G15" s="34">
        <f t="shared" si="3"/>
        <v>42185</v>
      </c>
      <c r="H15" s="35">
        <f t="shared" si="4"/>
        <v>139.51</v>
      </c>
      <c r="I15" s="157">
        <v>39630</v>
      </c>
      <c r="J15" s="60" t="str">
        <f t="shared" si="5"/>
        <v>- - DONE - -</v>
      </c>
      <c r="K15" s="60" t="str">
        <f t="shared" si="5"/>
        <v>- - DONE - -</v>
      </c>
      <c r="L15" s="60" t="str">
        <f t="shared" si="5"/>
        <v>- - DONE - -</v>
      </c>
      <c r="M15" s="60" t="str">
        <f t="shared" si="5"/>
        <v>- - DONE - -</v>
      </c>
      <c r="N15" s="60" t="str">
        <f t="shared" si="5"/>
        <v>- - DONE - -</v>
      </c>
      <c r="O15" s="60" t="str">
        <f t="shared" si="5"/>
        <v>- - DONE - -</v>
      </c>
      <c r="P15" s="60" t="str">
        <f t="shared" si="5"/>
        <v>- - DONE - -</v>
      </c>
      <c r="Q15" s="60" t="str">
        <f t="shared" si="5"/>
        <v>- - DONE - -</v>
      </c>
      <c r="R15" s="60" t="str">
        <f t="shared" si="5"/>
        <v>- - DONE - -</v>
      </c>
      <c r="S15" s="60" t="str">
        <f t="shared" si="5"/>
        <v>- - DONE - -</v>
      </c>
      <c r="T15" s="60" t="str">
        <f t="shared" si="5"/>
        <v>- - DONE - -</v>
      </c>
      <c r="U15" s="158" t="str">
        <f t="shared" si="5"/>
        <v>- - DONE - -</v>
      </c>
      <c r="V15" s="159">
        <f t="shared" si="6"/>
        <v>0</v>
      </c>
      <c r="W15" s="60">
        <f t="shared" si="7"/>
        <v>0</v>
      </c>
      <c r="X15" s="337"/>
      <c r="Y15" s="241"/>
      <c r="Z15" s="241"/>
      <c r="AA15" s="241"/>
      <c r="AB15" s="241"/>
      <c r="AC15" s="241"/>
    </row>
    <row r="16" spans="1:29" s="149" customFormat="1" ht="14.25">
      <c r="A16" s="152">
        <v>26426.79</v>
      </c>
      <c r="B16" s="168"/>
      <c r="C16" s="24">
        <f t="shared" si="1"/>
        <v>314.98999999999796</v>
      </c>
      <c r="D16" s="249">
        <v>0</v>
      </c>
      <c r="E16" s="240">
        <v>31</v>
      </c>
      <c r="F16" s="240" t="e">
        <f t="shared" si="2"/>
        <v>#VALUE!</v>
      </c>
      <c r="G16" s="34">
        <f t="shared" si="3"/>
        <v>42216</v>
      </c>
      <c r="H16" s="35">
        <f t="shared" si="4"/>
        <v>314.60000000000002</v>
      </c>
      <c r="I16" s="157">
        <v>39661</v>
      </c>
      <c r="J16" s="60" t="str">
        <f t="shared" si="5"/>
        <v>- - DONE - -</v>
      </c>
      <c r="K16" s="60" t="str">
        <f t="shared" si="5"/>
        <v>- - DONE - -</v>
      </c>
      <c r="L16" s="60" t="str">
        <f t="shared" si="5"/>
        <v>- - DONE - -</v>
      </c>
      <c r="M16" s="60" t="str">
        <f t="shared" si="5"/>
        <v>- - DONE - -</v>
      </c>
      <c r="N16" s="60" t="str">
        <f t="shared" si="5"/>
        <v>- - DONE - -</v>
      </c>
      <c r="O16" s="60" t="str">
        <f t="shared" si="5"/>
        <v>- - DONE - -</v>
      </c>
      <c r="P16" s="60" t="str">
        <f t="shared" si="5"/>
        <v>- - DONE - -</v>
      </c>
      <c r="Q16" s="60" t="str">
        <f t="shared" si="5"/>
        <v>- - DONE - -</v>
      </c>
      <c r="R16" s="60" t="str">
        <f t="shared" si="5"/>
        <v>- - DONE - -</v>
      </c>
      <c r="S16" s="60" t="str">
        <f t="shared" si="5"/>
        <v>- - DONE - -</v>
      </c>
      <c r="T16" s="60" t="str">
        <f t="shared" si="5"/>
        <v>- - DONE - -</v>
      </c>
      <c r="U16" s="158" t="str">
        <f t="shared" si="5"/>
        <v>- - DONE - -</v>
      </c>
      <c r="V16" s="159">
        <f t="shared" si="6"/>
        <v>0</v>
      </c>
      <c r="W16" s="60">
        <f t="shared" si="7"/>
        <v>0</v>
      </c>
      <c r="X16" s="337"/>
      <c r="Y16" s="241"/>
      <c r="Z16" s="241"/>
      <c r="AA16" s="241"/>
      <c r="AB16" s="241"/>
      <c r="AC16" s="241"/>
    </row>
    <row r="17" spans="1:29" s="149" customFormat="1" ht="14.25">
      <c r="A17" s="152">
        <v>5906.33</v>
      </c>
      <c r="B17" s="168"/>
      <c r="C17" s="24">
        <f t="shared" si="1"/>
        <v>70.599999999999454</v>
      </c>
      <c r="D17" s="249">
        <v>0</v>
      </c>
      <c r="E17" s="240">
        <v>32</v>
      </c>
      <c r="F17" s="240" t="e">
        <f t="shared" si="2"/>
        <v>#VALUE!</v>
      </c>
      <c r="G17" s="34">
        <f t="shared" si="3"/>
        <v>42247</v>
      </c>
      <c r="H17" s="35">
        <f t="shared" si="4"/>
        <v>70.31</v>
      </c>
      <c r="I17" s="157">
        <v>39692</v>
      </c>
      <c r="J17" s="60" t="str">
        <f t="shared" si="5"/>
        <v>- - DONE - -</v>
      </c>
      <c r="K17" s="60" t="str">
        <f t="shared" si="5"/>
        <v>- - DONE - -</v>
      </c>
      <c r="L17" s="60" t="str">
        <f t="shared" si="5"/>
        <v>- - DONE - -</v>
      </c>
      <c r="M17" s="60" t="str">
        <f t="shared" si="5"/>
        <v>- - DONE - -</v>
      </c>
      <c r="N17" s="60" t="str">
        <f t="shared" si="5"/>
        <v>- - DONE - -</v>
      </c>
      <c r="O17" s="60" t="str">
        <f t="shared" si="5"/>
        <v>- - DONE - -</v>
      </c>
      <c r="P17" s="60" t="str">
        <f t="shared" si="5"/>
        <v>- - DONE - -</v>
      </c>
      <c r="Q17" s="60" t="str">
        <f t="shared" si="5"/>
        <v>- - DONE - -</v>
      </c>
      <c r="R17" s="60" t="str">
        <f t="shared" si="5"/>
        <v>- - DONE - -</v>
      </c>
      <c r="S17" s="60" t="str">
        <f t="shared" si="5"/>
        <v>- - DONE - -</v>
      </c>
      <c r="T17" s="60" t="str">
        <f t="shared" si="5"/>
        <v>- - DONE - -</v>
      </c>
      <c r="U17" s="158" t="str">
        <f t="shared" si="5"/>
        <v>- - DONE - -</v>
      </c>
      <c r="V17" s="159">
        <f t="shared" si="6"/>
        <v>0</v>
      </c>
      <c r="W17" s="60">
        <f t="shared" si="7"/>
        <v>0</v>
      </c>
      <c r="X17" s="337"/>
      <c r="Y17" s="241"/>
      <c r="Z17" s="241"/>
      <c r="AA17" s="241"/>
      <c r="AB17" s="241"/>
      <c r="AC17" s="241"/>
    </row>
    <row r="18" spans="1:29" s="149" customFormat="1" ht="14.25">
      <c r="A18" s="152">
        <v>9522.84</v>
      </c>
      <c r="B18" s="168"/>
      <c r="C18" s="24">
        <f t="shared" si="1"/>
        <v>113.1299999999992</v>
      </c>
      <c r="D18" s="249">
        <v>-0.33000000000004093</v>
      </c>
      <c r="E18" s="240">
        <v>33</v>
      </c>
      <c r="F18" s="240" t="e">
        <f t="shared" si="2"/>
        <v>#VALUE!</v>
      </c>
      <c r="G18" s="34">
        <f t="shared" si="3"/>
        <v>42277</v>
      </c>
      <c r="H18" s="35">
        <f t="shared" si="4"/>
        <v>113.37</v>
      </c>
      <c r="I18" s="157">
        <v>39722</v>
      </c>
      <c r="J18" s="60" t="str">
        <f t="shared" si="5"/>
        <v>- - DONE - -</v>
      </c>
      <c r="K18" s="60" t="str">
        <f t="shared" si="5"/>
        <v>- - DONE - -</v>
      </c>
      <c r="L18" s="60" t="str">
        <f t="shared" si="5"/>
        <v>- - DONE - -</v>
      </c>
      <c r="M18" s="60" t="str">
        <f t="shared" si="5"/>
        <v>- - DONE - -</v>
      </c>
      <c r="N18" s="60" t="str">
        <f t="shared" si="5"/>
        <v>- - DONE - -</v>
      </c>
      <c r="O18" s="60" t="str">
        <f t="shared" si="5"/>
        <v>- - DONE - -</v>
      </c>
      <c r="P18" s="60" t="str">
        <f t="shared" si="5"/>
        <v>- - DONE - -</v>
      </c>
      <c r="Q18" s="60" t="str">
        <f t="shared" si="5"/>
        <v>- - DONE - -</v>
      </c>
      <c r="R18" s="60" t="str">
        <f t="shared" si="5"/>
        <v>- - DONE - -</v>
      </c>
      <c r="S18" s="60" t="str">
        <f t="shared" si="5"/>
        <v>- - DONE - -</v>
      </c>
      <c r="T18" s="60" t="str">
        <f t="shared" si="5"/>
        <v>- - DONE - -</v>
      </c>
      <c r="U18" s="158" t="str">
        <f t="shared" si="5"/>
        <v>- - DONE - -</v>
      </c>
      <c r="V18" s="159">
        <f t="shared" si="6"/>
        <v>0</v>
      </c>
      <c r="W18" s="60">
        <f t="shared" si="7"/>
        <v>-0.33000000000004093</v>
      </c>
      <c r="X18" s="337"/>
      <c r="Y18" s="241"/>
      <c r="Z18" s="241"/>
      <c r="AA18" s="241"/>
      <c r="AB18" s="241"/>
      <c r="AC18" s="241"/>
    </row>
    <row r="19" spans="1:29" s="149" customFormat="1" ht="14.25">
      <c r="A19" s="152">
        <v>-1200.52</v>
      </c>
      <c r="B19" s="168"/>
      <c r="C19" s="24">
        <f t="shared" si="1"/>
        <v>-14.450000000000045</v>
      </c>
      <c r="D19" s="249">
        <v>0</v>
      </c>
      <c r="E19" s="240">
        <v>34</v>
      </c>
      <c r="F19" s="240" t="e">
        <f t="shared" si="2"/>
        <v>#VALUE!</v>
      </c>
      <c r="G19" s="34">
        <f t="shared" si="3"/>
        <v>42308</v>
      </c>
      <c r="H19" s="35">
        <f t="shared" si="4"/>
        <v>-14.29</v>
      </c>
      <c r="I19" s="157">
        <v>39753</v>
      </c>
      <c r="J19" s="60" t="str">
        <f t="shared" ref="J19:U28" si="8">IF(J$7&lt;$I19,"",IF(J$7=$I19,+$C19,IF(J$7&lt;=$G19,+(ROUND(($A19-$C19)/83,2)),"- - DONE - -")))</f>
        <v>- - DONE - -</v>
      </c>
      <c r="K19" s="60" t="str">
        <f t="shared" si="8"/>
        <v>- - DONE - -</v>
      </c>
      <c r="L19" s="60" t="str">
        <f t="shared" si="8"/>
        <v>- - DONE - -</v>
      </c>
      <c r="M19" s="60" t="str">
        <f t="shared" si="8"/>
        <v>- - DONE - -</v>
      </c>
      <c r="N19" s="60" t="str">
        <f t="shared" si="8"/>
        <v>- - DONE - -</v>
      </c>
      <c r="O19" s="60" t="str">
        <f t="shared" si="8"/>
        <v>- - DONE - -</v>
      </c>
      <c r="P19" s="60" t="str">
        <f t="shared" si="8"/>
        <v>- - DONE - -</v>
      </c>
      <c r="Q19" s="60" t="str">
        <f t="shared" si="8"/>
        <v>- - DONE - -</v>
      </c>
      <c r="R19" s="60" t="str">
        <f t="shared" si="8"/>
        <v>- - DONE - -</v>
      </c>
      <c r="S19" s="60" t="str">
        <f t="shared" si="8"/>
        <v>- - DONE - -</v>
      </c>
      <c r="T19" s="60" t="str">
        <f t="shared" si="8"/>
        <v>- - DONE - -</v>
      </c>
      <c r="U19" s="158" t="str">
        <f t="shared" si="8"/>
        <v>- - DONE - -</v>
      </c>
      <c r="V19" s="159">
        <f t="shared" si="6"/>
        <v>0</v>
      </c>
      <c r="W19" s="60">
        <f t="shared" si="7"/>
        <v>0</v>
      </c>
      <c r="X19" s="337"/>
      <c r="Y19" s="241"/>
      <c r="Z19" s="241"/>
      <c r="AA19" s="241"/>
      <c r="AB19" s="241"/>
      <c r="AC19" s="241"/>
    </row>
    <row r="20" spans="1:29" s="149" customFormat="1" ht="14.25">
      <c r="A20" s="152">
        <v>11035.9</v>
      </c>
      <c r="B20" s="169"/>
      <c r="C20" s="24">
        <f t="shared" si="1"/>
        <v>131.36000000000058</v>
      </c>
      <c r="D20" s="249">
        <v>0</v>
      </c>
      <c r="E20" s="240">
        <v>35</v>
      </c>
      <c r="F20" s="240" t="e">
        <f t="shared" si="2"/>
        <v>#VALUE!</v>
      </c>
      <c r="G20" s="34">
        <f t="shared" si="3"/>
        <v>42338</v>
      </c>
      <c r="H20" s="35">
        <f t="shared" si="4"/>
        <v>131.38</v>
      </c>
      <c r="I20" s="157">
        <v>39783</v>
      </c>
      <c r="J20" s="60" t="str">
        <f t="shared" si="8"/>
        <v>- - DONE - -</v>
      </c>
      <c r="K20" s="60" t="str">
        <f t="shared" si="8"/>
        <v>- - DONE - -</v>
      </c>
      <c r="L20" s="60" t="str">
        <f t="shared" si="8"/>
        <v>- - DONE - -</v>
      </c>
      <c r="M20" s="60" t="str">
        <f t="shared" si="8"/>
        <v>- - DONE - -</v>
      </c>
      <c r="N20" s="60" t="str">
        <f t="shared" si="8"/>
        <v>- - DONE - -</v>
      </c>
      <c r="O20" s="60" t="str">
        <f t="shared" si="8"/>
        <v>- - DONE - -</v>
      </c>
      <c r="P20" s="60" t="str">
        <f t="shared" si="8"/>
        <v>- - DONE - -</v>
      </c>
      <c r="Q20" s="60" t="str">
        <f t="shared" si="8"/>
        <v>- - DONE - -</v>
      </c>
      <c r="R20" s="60" t="str">
        <f t="shared" si="8"/>
        <v>- - DONE - -</v>
      </c>
      <c r="S20" s="60" t="str">
        <f t="shared" si="8"/>
        <v>- - DONE - -</v>
      </c>
      <c r="T20" s="60" t="str">
        <f t="shared" si="8"/>
        <v>- - DONE - -</v>
      </c>
      <c r="U20" s="158" t="str">
        <f t="shared" si="8"/>
        <v>- - DONE - -</v>
      </c>
      <c r="V20" s="159">
        <f t="shared" si="6"/>
        <v>0</v>
      </c>
      <c r="W20" s="60">
        <f t="shared" si="7"/>
        <v>0</v>
      </c>
      <c r="X20" s="337"/>
      <c r="Y20" s="241"/>
      <c r="Z20" s="241"/>
      <c r="AA20" s="241"/>
      <c r="AB20" s="241"/>
      <c r="AC20" s="241"/>
    </row>
    <row r="21" spans="1:29" s="149" customFormat="1" ht="14.25">
      <c r="A21" s="161">
        <v>5963.96</v>
      </c>
      <c r="B21" s="168"/>
      <c r="C21" s="160">
        <f t="shared" si="1"/>
        <v>70.960000000000036</v>
      </c>
      <c r="D21" s="250">
        <v>0</v>
      </c>
      <c r="E21" s="242">
        <v>36</v>
      </c>
      <c r="F21" s="242" t="e">
        <f t="shared" si="2"/>
        <v>#VALUE!</v>
      </c>
      <c r="G21" s="162">
        <f t="shared" si="3"/>
        <v>42369</v>
      </c>
      <c r="H21" s="163">
        <f t="shared" si="4"/>
        <v>71</v>
      </c>
      <c r="I21" s="164">
        <v>39814</v>
      </c>
      <c r="J21" s="165" t="str">
        <f t="shared" si="8"/>
        <v>- - DONE - -</v>
      </c>
      <c r="K21" s="165" t="str">
        <f t="shared" si="8"/>
        <v>- - DONE - -</v>
      </c>
      <c r="L21" s="165" t="str">
        <f t="shared" si="8"/>
        <v>- - DONE - -</v>
      </c>
      <c r="M21" s="165" t="str">
        <f t="shared" si="8"/>
        <v>- - DONE - -</v>
      </c>
      <c r="N21" s="165" t="str">
        <f t="shared" si="8"/>
        <v>- - DONE - -</v>
      </c>
      <c r="O21" s="165" t="str">
        <f t="shared" si="8"/>
        <v>- - DONE - -</v>
      </c>
      <c r="P21" s="165" t="str">
        <f t="shared" si="8"/>
        <v>- - DONE - -</v>
      </c>
      <c r="Q21" s="165" t="str">
        <f t="shared" si="8"/>
        <v>- - DONE - -</v>
      </c>
      <c r="R21" s="165" t="str">
        <f t="shared" si="8"/>
        <v>- - DONE - -</v>
      </c>
      <c r="S21" s="165" t="str">
        <f t="shared" si="8"/>
        <v>- - DONE - -</v>
      </c>
      <c r="T21" s="165" t="str">
        <f t="shared" si="8"/>
        <v>- - DONE - -</v>
      </c>
      <c r="U21" s="167" t="str">
        <f t="shared" si="8"/>
        <v>- - DONE - -</v>
      </c>
      <c r="V21" s="166">
        <f t="shared" si="6"/>
        <v>0</v>
      </c>
      <c r="W21" s="165">
        <f t="shared" si="7"/>
        <v>0</v>
      </c>
      <c r="X21" s="337"/>
      <c r="Y21" s="241"/>
      <c r="Z21" s="241"/>
      <c r="AA21" s="241"/>
      <c r="AB21" s="241"/>
      <c r="AC21" s="241"/>
    </row>
    <row r="22" spans="1:29" s="149" customFormat="1" ht="14.25">
      <c r="A22" s="152">
        <v>5350.27</v>
      </c>
      <c r="B22" s="168"/>
      <c r="C22" s="24">
        <f t="shared" si="1"/>
        <v>64.000000000000909</v>
      </c>
      <c r="D22" s="249">
        <v>-1.7053025658242404E-13</v>
      </c>
      <c r="E22" s="240">
        <v>37</v>
      </c>
      <c r="F22" s="240" t="e">
        <f t="shared" si="2"/>
        <v>#VALUE!</v>
      </c>
      <c r="G22" s="34">
        <f t="shared" si="3"/>
        <v>42400</v>
      </c>
      <c r="H22" s="35">
        <f t="shared" si="4"/>
        <v>63.69</v>
      </c>
      <c r="I22" s="157">
        <v>39845</v>
      </c>
      <c r="J22" s="60" t="str">
        <f t="shared" si="8"/>
        <v>- - DONE - -</v>
      </c>
      <c r="K22" s="60" t="str">
        <f t="shared" si="8"/>
        <v>- - DONE - -</v>
      </c>
      <c r="L22" s="60" t="str">
        <f t="shared" si="8"/>
        <v>- - DONE - -</v>
      </c>
      <c r="M22" s="60" t="str">
        <f t="shared" si="8"/>
        <v>- - DONE - -</v>
      </c>
      <c r="N22" s="60" t="str">
        <f t="shared" si="8"/>
        <v>- - DONE - -</v>
      </c>
      <c r="O22" s="60" t="str">
        <f t="shared" si="8"/>
        <v>- - DONE - -</v>
      </c>
      <c r="P22" s="60" t="str">
        <f t="shared" si="8"/>
        <v>- - DONE - -</v>
      </c>
      <c r="Q22" s="60" t="str">
        <f t="shared" si="8"/>
        <v>- - DONE - -</v>
      </c>
      <c r="R22" s="60" t="str">
        <f t="shared" si="8"/>
        <v>- - DONE - -</v>
      </c>
      <c r="S22" s="60" t="str">
        <f t="shared" si="8"/>
        <v>- - DONE - -</v>
      </c>
      <c r="T22" s="60" t="str">
        <f t="shared" si="8"/>
        <v>- - DONE - -</v>
      </c>
      <c r="U22" s="158" t="str">
        <f t="shared" si="8"/>
        <v>- - DONE - -</v>
      </c>
      <c r="V22" s="159">
        <f t="shared" si="6"/>
        <v>0</v>
      </c>
      <c r="W22" s="60">
        <f t="shared" si="7"/>
        <v>-1.7053025658242404E-13</v>
      </c>
      <c r="X22" s="337"/>
      <c r="Y22" s="241"/>
      <c r="Z22" s="241"/>
      <c r="AA22" s="241"/>
      <c r="AB22" s="241"/>
      <c r="AC22" s="241"/>
    </row>
    <row r="23" spans="1:29" s="149" customFormat="1" ht="14.25">
      <c r="A23" s="152">
        <v>-1080.1300000000001</v>
      </c>
      <c r="B23" s="168"/>
      <c r="C23" s="24">
        <f t="shared" si="1"/>
        <v>-12.750000000000227</v>
      </c>
      <c r="D23" s="249">
        <v>0</v>
      </c>
      <c r="E23" s="240">
        <v>38</v>
      </c>
      <c r="F23" s="240" t="e">
        <f t="shared" si="2"/>
        <v>#VALUE!</v>
      </c>
      <c r="G23" s="34">
        <f t="shared" si="3"/>
        <v>42428</v>
      </c>
      <c r="H23" s="35">
        <f t="shared" si="4"/>
        <v>-12.86</v>
      </c>
      <c r="I23" s="157">
        <v>39873</v>
      </c>
      <c r="J23" s="60" t="str">
        <f t="shared" si="8"/>
        <v>- - DONE - -</v>
      </c>
      <c r="K23" s="60" t="str">
        <f t="shared" si="8"/>
        <v>- - DONE - -</v>
      </c>
      <c r="L23" s="60" t="str">
        <f t="shared" si="8"/>
        <v>- - DONE - -</v>
      </c>
      <c r="M23" s="60" t="str">
        <f t="shared" si="8"/>
        <v>- - DONE - -</v>
      </c>
      <c r="N23" s="60" t="str">
        <f t="shared" si="8"/>
        <v>- - DONE - -</v>
      </c>
      <c r="O23" s="60" t="str">
        <f t="shared" si="8"/>
        <v>- - DONE - -</v>
      </c>
      <c r="P23" s="60" t="str">
        <f t="shared" si="8"/>
        <v>- - DONE - -</v>
      </c>
      <c r="Q23" s="60" t="str">
        <f t="shared" si="8"/>
        <v>- - DONE - -</v>
      </c>
      <c r="R23" s="60" t="str">
        <f t="shared" si="8"/>
        <v>- - DONE - -</v>
      </c>
      <c r="S23" s="60" t="str">
        <f t="shared" si="8"/>
        <v>- - DONE - -</v>
      </c>
      <c r="T23" s="60" t="str">
        <f t="shared" si="8"/>
        <v>- - DONE - -</v>
      </c>
      <c r="U23" s="158" t="str">
        <f t="shared" si="8"/>
        <v>- - DONE - -</v>
      </c>
      <c r="V23" s="159">
        <f t="shared" si="6"/>
        <v>0</v>
      </c>
      <c r="W23" s="60">
        <f t="shared" si="7"/>
        <v>0</v>
      </c>
      <c r="X23" s="337"/>
      <c r="Y23" s="241"/>
      <c r="Z23" s="241"/>
      <c r="AA23" s="241"/>
      <c r="AB23" s="241"/>
      <c r="AC23" s="241"/>
    </row>
    <row r="24" spans="1:29" s="149" customFormat="1" ht="14.25">
      <c r="A24" s="152">
        <v>2139.4499999999998</v>
      </c>
      <c r="B24" s="168"/>
      <c r="C24" s="24">
        <f t="shared" si="1"/>
        <v>25.440000000000055</v>
      </c>
      <c r="D24" s="249">
        <v>0</v>
      </c>
      <c r="E24" s="240">
        <v>39</v>
      </c>
      <c r="F24" s="240" t="e">
        <f t="shared" si="2"/>
        <v>#VALUE!</v>
      </c>
      <c r="G24" s="34">
        <f t="shared" si="3"/>
        <v>42459</v>
      </c>
      <c r="H24" s="35">
        <f t="shared" si="4"/>
        <v>25.47</v>
      </c>
      <c r="I24" s="157">
        <v>39904</v>
      </c>
      <c r="J24" s="60" t="str">
        <f t="shared" si="8"/>
        <v>- - DONE - -</v>
      </c>
      <c r="K24" s="60" t="str">
        <f t="shared" si="8"/>
        <v>- - DONE - -</v>
      </c>
      <c r="L24" s="60" t="str">
        <f t="shared" si="8"/>
        <v>- - DONE - -</v>
      </c>
      <c r="M24" s="60" t="str">
        <f t="shared" si="8"/>
        <v>- - DONE - -</v>
      </c>
      <c r="N24" s="60" t="str">
        <f t="shared" si="8"/>
        <v>- - DONE - -</v>
      </c>
      <c r="O24" s="60" t="str">
        <f t="shared" si="8"/>
        <v>- - DONE - -</v>
      </c>
      <c r="P24" s="60" t="str">
        <f t="shared" si="8"/>
        <v>- - DONE - -</v>
      </c>
      <c r="Q24" s="60" t="str">
        <f t="shared" si="8"/>
        <v>- - DONE - -</v>
      </c>
      <c r="R24" s="60" t="str">
        <f t="shared" si="8"/>
        <v>- - DONE - -</v>
      </c>
      <c r="S24" s="60" t="str">
        <f t="shared" si="8"/>
        <v>- - DONE - -</v>
      </c>
      <c r="T24" s="60" t="str">
        <f t="shared" si="8"/>
        <v>- - DONE - -</v>
      </c>
      <c r="U24" s="158" t="str">
        <f t="shared" si="8"/>
        <v>- - DONE - -</v>
      </c>
      <c r="V24" s="159">
        <f t="shared" si="6"/>
        <v>0</v>
      </c>
      <c r="W24" s="60">
        <f t="shared" si="7"/>
        <v>0</v>
      </c>
      <c r="X24" s="337"/>
      <c r="Y24" s="241"/>
      <c r="Z24" s="241"/>
      <c r="AA24" s="241"/>
      <c r="AB24" s="241"/>
      <c r="AC24" s="241"/>
    </row>
    <row r="25" spans="1:29" s="149" customFormat="1" ht="14.25">
      <c r="A25" s="152">
        <v>2683.03</v>
      </c>
      <c r="B25" s="168"/>
      <c r="C25" s="24">
        <f t="shared" si="1"/>
        <v>32.010000000000218</v>
      </c>
      <c r="D25" s="249">
        <v>0</v>
      </c>
      <c r="E25" s="240">
        <v>40</v>
      </c>
      <c r="F25" s="240" t="e">
        <f t="shared" si="2"/>
        <v>#VALUE!</v>
      </c>
      <c r="G25" s="34">
        <f t="shared" si="3"/>
        <v>42489</v>
      </c>
      <c r="H25" s="35">
        <f t="shared" si="4"/>
        <v>31.94</v>
      </c>
      <c r="I25" s="157">
        <v>39934</v>
      </c>
      <c r="J25" s="60" t="str">
        <f t="shared" si="8"/>
        <v>- - DONE - -</v>
      </c>
      <c r="K25" s="60" t="str">
        <f t="shared" si="8"/>
        <v>- - DONE - -</v>
      </c>
      <c r="L25" s="60" t="str">
        <f t="shared" si="8"/>
        <v>- - DONE - -</v>
      </c>
      <c r="M25" s="60" t="str">
        <f t="shared" si="8"/>
        <v>- - DONE - -</v>
      </c>
      <c r="N25" s="60" t="str">
        <f t="shared" si="8"/>
        <v>- - DONE - -</v>
      </c>
      <c r="O25" s="60" t="str">
        <f t="shared" si="8"/>
        <v>- - DONE - -</v>
      </c>
      <c r="P25" s="60" t="str">
        <f t="shared" si="8"/>
        <v>- - DONE - -</v>
      </c>
      <c r="Q25" s="60" t="str">
        <f t="shared" si="8"/>
        <v>- - DONE - -</v>
      </c>
      <c r="R25" s="60" t="str">
        <f t="shared" si="8"/>
        <v>- - DONE - -</v>
      </c>
      <c r="S25" s="60" t="str">
        <f t="shared" si="8"/>
        <v>- - DONE - -</v>
      </c>
      <c r="T25" s="60" t="str">
        <f t="shared" si="8"/>
        <v>- - DONE - -</v>
      </c>
      <c r="U25" s="158" t="str">
        <f t="shared" si="8"/>
        <v>- - DONE - -</v>
      </c>
      <c r="V25" s="159">
        <f t="shared" si="6"/>
        <v>0</v>
      </c>
      <c r="W25" s="60">
        <f t="shared" si="7"/>
        <v>0</v>
      </c>
      <c r="X25" s="337"/>
      <c r="Y25" s="241"/>
      <c r="Z25" s="241"/>
      <c r="AA25" s="241"/>
      <c r="AB25" s="241"/>
      <c r="AC25" s="241"/>
    </row>
    <row r="26" spans="1:29" s="149" customFormat="1" ht="14.25">
      <c r="A26" s="152">
        <v>4075.23</v>
      </c>
      <c r="B26" s="168"/>
      <c r="C26" s="24">
        <f t="shared" si="1"/>
        <v>48.900000000000091</v>
      </c>
      <c r="D26" s="249">
        <v>0</v>
      </c>
      <c r="E26" s="240">
        <v>41</v>
      </c>
      <c r="F26" s="240" t="e">
        <f t="shared" si="2"/>
        <v>#VALUE!</v>
      </c>
      <c r="G26" s="34">
        <f t="shared" si="3"/>
        <v>42520</v>
      </c>
      <c r="H26" s="35">
        <f t="shared" si="4"/>
        <v>48.51</v>
      </c>
      <c r="I26" s="157">
        <v>39965</v>
      </c>
      <c r="J26" s="60" t="str">
        <f t="shared" si="8"/>
        <v>- - DONE - -</v>
      </c>
      <c r="K26" s="60" t="str">
        <f t="shared" si="8"/>
        <v>- - DONE - -</v>
      </c>
      <c r="L26" s="60" t="str">
        <f t="shared" si="8"/>
        <v>- - DONE - -</v>
      </c>
      <c r="M26" s="60" t="str">
        <f t="shared" si="8"/>
        <v>- - DONE - -</v>
      </c>
      <c r="N26" s="60" t="str">
        <f t="shared" si="8"/>
        <v>- - DONE - -</v>
      </c>
      <c r="O26" s="60" t="str">
        <f t="shared" si="8"/>
        <v>- - DONE - -</v>
      </c>
      <c r="P26" s="60" t="str">
        <f t="shared" si="8"/>
        <v>- - DONE - -</v>
      </c>
      <c r="Q26" s="60" t="str">
        <f t="shared" si="8"/>
        <v>- - DONE - -</v>
      </c>
      <c r="R26" s="60" t="str">
        <f t="shared" si="8"/>
        <v>- - DONE - -</v>
      </c>
      <c r="S26" s="60" t="str">
        <f t="shared" si="8"/>
        <v>- - DONE - -</v>
      </c>
      <c r="T26" s="60" t="str">
        <f t="shared" si="8"/>
        <v>- - DONE - -</v>
      </c>
      <c r="U26" s="158" t="str">
        <f t="shared" si="8"/>
        <v>- - DONE - -</v>
      </c>
      <c r="V26" s="159">
        <f t="shared" si="6"/>
        <v>0</v>
      </c>
      <c r="W26" s="60">
        <f t="shared" si="7"/>
        <v>0</v>
      </c>
      <c r="X26" s="337"/>
      <c r="Y26" s="241"/>
      <c r="Z26" s="241"/>
      <c r="AA26" s="241"/>
      <c r="AB26" s="241"/>
      <c r="AC26" s="241"/>
    </row>
    <row r="27" spans="1:29" s="149" customFormat="1" ht="14.25">
      <c r="A27" s="152">
        <v>2066.33</v>
      </c>
      <c r="B27" s="168"/>
      <c r="C27" s="24">
        <f t="shared" si="1"/>
        <v>24.529999999999745</v>
      </c>
      <c r="D27" s="249">
        <v>0</v>
      </c>
      <c r="E27" s="240">
        <v>42</v>
      </c>
      <c r="F27" s="240" t="e">
        <f t="shared" si="2"/>
        <v>#VALUE!</v>
      </c>
      <c r="G27" s="34">
        <f t="shared" si="3"/>
        <v>42550</v>
      </c>
      <c r="H27" s="35">
        <f t="shared" si="4"/>
        <v>24.6</v>
      </c>
      <c r="I27" s="157">
        <v>39995</v>
      </c>
      <c r="J27" s="60" t="str">
        <f t="shared" si="8"/>
        <v>- - DONE - -</v>
      </c>
      <c r="K27" s="60" t="str">
        <f t="shared" si="8"/>
        <v>- - DONE - -</v>
      </c>
      <c r="L27" s="60" t="str">
        <f t="shared" si="8"/>
        <v>- - DONE - -</v>
      </c>
      <c r="M27" s="60" t="str">
        <f t="shared" si="8"/>
        <v>- - DONE - -</v>
      </c>
      <c r="N27" s="60" t="str">
        <f t="shared" si="8"/>
        <v>- - DONE - -</v>
      </c>
      <c r="O27" s="60" t="str">
        <f t="shared" si="8"/>
        <v>- - DONE - -</v>
      </c>
      <c r="P27" s="60" t="str">
        <f t="shared" si="8"/>
        <v>- - DONE - -</v>
      </c>
      <c r="Q27" s="60" t="str">
        <f t="shared" si="8"/>
        <v>- - DONE - -</v>
      </c>
      <c r="R27" s="60" t="str">
        <f t="shared" si="8"/>
        <v>- - DONE - -</v>
      </c>
      <c r="S27" s="60" t="str">
        <f t="shared" si="8"/>
        <v>- - DONE - -</v>
      </c>
      <c r="T27" s="60" t="str">
        <f t="shared" si="8"/>
        <v>- - DONE - -</v>
      </c>
      <c r="U27" s="158" t="str">
        <f t="shared" si="8"/>
        <v>- - DONE - -</v>
      </c>
      <c r="V27" s="159">
        <f t="shared" si="6"/>
        <v>0</v>
      </c>
      <c r="W27" s="60">
        <f t="shared" si="7"/>
        <v>0</v>
      </c>
      <c r="X27" s="337"/>
      <c r="Y27" s="241"/>
      <c r="Z27" s="241"/>
      <c r="AA27" s="241"/>
      <c r="AB27" s="241"/>
      <c r="AC27" s="241"/>
    </row>
    <row r="28" spans="1:29" s="149" customFormat="1" ht="14.25">
      <c r="A28" s="152">
        <v>2599.11</v>
      </c>
      <c r="B28" s="168"/>
      <c r="C28" s="24">
        <f t="shared" si="1"/>
        <v>31.090000000000146</v>
      </c>
      <c r="D28" s="249">
        <v>0</v>
      </c>
      <c r="E28" s="240">
        <v>43</v>
      </c>
      <c r="F28" s="240" t="e">
        <f t="shared" si="2"/>
        <v>#VALUE!</v>
      </c>
      <c r="G28" s="34">
        <f t="shared" si="3"/>
        <v>42581</v>
      </c>
      <c r="H28" s="35">
        <f t="shared" si="4"/>
        <v>30.94</v>
      </c>
      <c r="I28" s="157">
        <v>40026</v>
      </c>
      <c r="J28" s="60" t="str">
        <f t="shared" si="8"/>
        <v>- - DONE - -</v>
      </c>
      <c r="K28" s="60" t="str">
        <f t="shared" si="8"/>
        <v>- - DONE - -</v>
      </c>
      <c r="L28" s="60" t="str">
        <f t="shared" si="8"/>
        <v>- - DONE - -</v>
      </c>
      <c r="M28" s="60" t="str">
        <f t="shared" si="8"/>
        <v>- - DONE - -</v>
      </c>
      <c r="N28" s="60" t="str">
        <f t="shared" si="8"/>
        <v>- - DONE - -</v>
      </c>
      <c r="O28" s="60" t="str">
        <f t="shared" si="8"/>
        <v>- - DONE - -</v>
      </c>
      <c r="P28" s="60" t="str">
        <f t="shared" si="8"/>
        <v>- - DONE - -</v>
      </c>
      <c r="Q28" s="60" t="str">
        <f t="shared" si="8"/>
        <v>- - DONE - -</v>
      </c>
      <c r="R28" s="60" t="str">
        <f t="shared" si="8"/>
        <v>- - DONE - -</v>
      </c>
      <c r="S28" s="60" t="str">
        <f t="shared" si="8"/>
        <v>- - DONE - -</v>
      </c>
      <c r="T28" s="60" t="str">
        <f t="shared" si="8"/>
        <v>- - DONE - -</v>
      </c>
      <c r="U28" s="158" t="str">
        <f t="shared" si="8"/>
        <v>- - DONE - -</v>
      </c>
      <c r="V28" s="159">
        <f t="shared" si="6"/>
        <v>0</v>
      </c>
      <c r="W28" s="60">
        <f t="shared" si="7"/>
        <v>0</v>
      </c>
      <c r="X28" s="337"/>
      <c r="Y28" s="241"/>
      <c r="Z28" s="241"/>
      <c r="AA28" s="241"/>
      <c r="AB28" s="241"/>
      <c r="AC28" s="241"/>
    </row>
    <row r="29" spans="1:29" s="149" customFormat="1" ht="14.25">
      <c r="A29" s="152">
        <v>-9591.77</v>
      </c>
      <c r="B29" s="168"/>
      <c r="C29" s="24">
        <f t="shared" si="1"/>
        <v>-114</v>
      </c>
      <c r="D29" s="249">
        <v>0</v>
      </c>
      <c r="E29" s="240">
        <v>44</v>
      </c>
      <c r="F29" s="240" t="e">
        <f t="shared" si="2"/>
        <v>#VALUE!</v>
      </c>
      <c r="G29" s="34">
        <f t="shared" si="3"/>
        <v>42612</v>
      </c>
      <c r="H29" s="35">
        <f t="shared" si="4"/>
        <v>-114.19</v>
      </c>
      <c r="I29" s="157">
        <v>40057</v>
      </c>
      <c r="J29" s="60" t="str">
        <f t="shared" ref="J29:U38" si="9">IF(J$7&lt;$I29,"",IF(J$7=$I29,+$C29,IF(J$7&lt;=$G29,+(ROUND(($A29-$C29)/83,2)),"- - DONE - -")))</f>
        <v>- - DONE - -</v>
      </c>
      <c r="K29" s="60" t="str">
        <f t="shared" si="9"/>
        <v>- - DONE - -</v>
      </c>
      <c r="L29" s="60" t="str">
        <f t="shared" si="9"/>
        <v>- - DONE - -</v>
      </c>
      <c r="M29" s="60" t="str">
        <f t="shared" si="9"/>
        <v>- - DONE - -</v>
      </c>
      <c r="N29" s="60" t="str">
        <f t="shared" si="9"/>
        <v>- - DONE - -</v>
      </c>
      <c r="O29" s="60" t="str">
        <f t="shared" si="9"/>
        <v>- - DONE - -</v>
      </c>
      <c r="P29" s="60" t="str">
        <f t="shared" si="9"/>
        <v>- - DONE - -</v>
      </c>
      <c r="Q29" s="60" t="str">
        <f t="shared" si="9"/>
        <v>- - DONE - -</v>
      </c>
      <c r="R29" s="60" t="str">
        <f t="shared" si="9"/>
        <v>- - DONE - -</v>
      </c>
      <c r="S29" s="60" t="str">
        <f t="shared" si="9"/>
        <v>- - DONE - -</v>
      </c>
      <c r="T29" s="60" t="str">
        <f t="shared" si="9"/>
        <v>- - DONE - -</v>
      </c>
      <c r="U29" s="158" t="str">
        <f t="shared" si="9"/>
        <v>- - DONE - -</v>
      </c>
      <c r="V29" s="159">
        <f t="shared" si="6"/>
        <v>0</v>
      </c>
      <c r="W29" s="60">
        <f t="shared" si="7"/>
        <v>0</v>
      </c>
      <c r="X29" s="337"/>
      <c r="Y29" s="241"/>
      <c r="Z29" s="241"/>
      <c r="AA29" s="241"/>
      <c r="AB29" s="241"/>
      <c r="AC29" s="241"/>
    </row>
    <row r="30" spans="1:29" s="149" customFormat="1" ht="14.25">
      <c r="A30" s="152">
        <v>2984.06</v>
      </c>
      <c r="B30" s="168"/>
      <c r="C30" s="24">
        <f t="shared" si="1"/>
        <v>35.899999999999636</v>
      </c>
      <c r="D30" s="249">
        <v>0.45000000000004547</v>
      </c>
      <c r="E30" s="240">
        <v>45</v>
      </c>
      <c r="F30" s="240" t="e">
        <f t="shared" si="2"/>
        <v>#VALUE!</v>
      </c>
      <c r="G30" s="34">
        <f t="shared" si="3"/>
        <v>42642</v>
      </c>
      <c r="H30" s="35">
        <f t="shared" si="4"/>
        <v>35.520000000000003</v>
      </c>
      <c r="I30" s="157">
        <v>40087</v>
      </c>
      <c r="J30" s="60" t="str">
        <f t="shared" si="9"/>
        <v>- - DONE - -</v>
      </c>
      <c r="K30" s="60" t="str">
        <f t="shared" si="9"/>
        <v>- - DONE - -</v>
      </c>
      <c r="L30" s="60" t="str">
        <f t="shared" si="9"/>
        <v>- - DONE - -</v>
      </c>
      <c r="M30" s="60" t="str">
        <f t="shared" si="9"/>
        <v>- - DONE - -</v>
      </c>
      <c r="N30" s="60" t="str">
        <f t="shared" si="9"/>
        <v>- - DONE - -</v>
      </c>
      <c r="O30" s="60" t="str">
        <f t="shared" si="9"/>
        <v>- - DONE - -</v>
      </c>
      <c r="P30" s="60" t="str">
        <f t="shared" si="9"/>
        <v>- - DONE - -</v>
      </c>
      <c r="Q30" s="60" t="str">
        <f t="shared" si="9"/>
        <v>- - DONE - -</v>
      </c>
      <c r="R30" s="60" t="str">
        <f t="shared" si="9"/>
        <v>- - DONE - -</v>
      </c>
      <c r="S30" s="60" t="str">
        <f t="shared" si="9"/>
        <v>- - DONE - -</v>
      </c>
      <c r="T30" s="60" t="str">
        <f t="shared" si="9"/>
        <v>- - DONE - -</v>
      </c>
      <c r="U30" s="158" t="str">
        <f t="shared" si="9"/>
        <v>- - DONE - -</v>
      </c>
      <c r="V30" s="159">
        <f t="shared" si="6"/>
        <v>0</v>
      </c>
      <c r="W30" s="60">
        <f t="shared" si="7"/>
        <v>0.45000000000004547</v>
      </c>
      <c r="X30" s="337"/>
      <c r="Y30" s="241"/>
      <c r="Z30" s="241"/>
      <c r="AA30" s="241"/>
      <c r="AB30" s="241"/>
      <c r="AC30" s="241"/>
    </row>
    <row r="31" spans="1:29" s="149" customFormat="1" ht="14.25">
      <c r="A31" s="152">
        <v>-3437.95</v>
      </c>
      <c r="B31" s="168"/>
      <c r="C31" s="24">
        <f t="shared" si="1"/>
        <v>-40.759999999999764</v>
      </c>
      <c r="D31" s="249">
        <v>0</v>
      </c>
      <c r="E31" s="240">
        <v>46</v>
      </c>
      <c r="F31" s="240" t="e">
        <f t="shared" si="2"/>
        <v>#VALUE!</v>
      </c>
      <c r="G31" s="34">
        <f t="shared" si="3"/>
        <v>42673</v>
      </c>
      <c r="H31" s="35">
        <f t="shared" si="4"/>
        <v>-40.93</v>
      </c>
      <c r="I31" s="157">
        <v>40118</v>
      </c>
      <c r="J31" s="60" t="str">
        <f t="shared" si="9"/>
        <v>- - DONE - -</v>
      </c>
      <c r="K31" s="60" t="str">
        <f t="shared" si="9"/>
        <v>- - DONE - -</v>
      </c>
      <c r="L31" s="60" t="str">
        <f t="shared" si="9"/>
        <v>- - DONE - -</v>
      </c>
      <c r="M31" s="60" t="str">
        <f t="shared" si="9"/>
        <v>- - DONE - -</v>
      </c>
      <c r="N31" s="60" t="str">
        <f t="shared" si="9"/>
        <v>- - DONE - -</v>
      </c>
      <c r="O31" s="60" t="str">
        <f t="shared" si="9"/>
        <v>- - DONE - -</v>
      </c>
      <c r="P31" s="60" t="str">
        <f t="shared" si="9"/>
        <v>- - DONE - -</v>
      </c>
      <c r="Q31" s="60" t="str">
        <f t="shared" si="9"/>
        <v>- - DONE - -</v>
      </c>
      <c r="R31" s="60" t="str">
        <f t="shared" si="9"/>
        <v>- - DONE - -</v>
      </c>
      <c r="S31" s="60" t="str">
        <f t="shared" si="9"/>
        <v>- - DONE - -</v>
      </c>
      <c r="T31" s="60" t="str">
        <f t="shared" si="9"/>
        <v>- - DONE - -</v>
      </c>
      <c r="U31" s="158" t="str">
        <f t="shared" si="9"/>
        <v>- - DONE - -</v>
      </c>
      <c r="V31" s="159">
        <f t="shared" si="6"/>
        <v>0</v>
      </c>
      <c r="W31" s="60">
        <f t="shared" si="7"/>
        <v>0</v>
      </c>
      <c r="X31" s="337"/>
      <c r="Y31" s="241"/>
      <c r="Z31" s="241"/>
      <c r="AA31" s="241"/>
      <c r="AB31" s="241"/>
      <c r="AC31" s="241"/>
    </row>
    <row r="32" spans="1:29" s="149" customFormat="1" ht="14.25">
      <c r="A32" s="152">
        <v>4489.57</v>
      </c>
      <c r="B32" s="169"/>
      <c r="C32" s="24">
        <f t="shared" si="1"/>
        <v>53.219999999999345</v>
      </c>
      <c r="D32" s="249">
        <v>0</v>
      </c>
      <c r="E32" s="240">
        <v>47</v>
      </c>
      <c r="F32" s="240" t="e">
        <f t="shared" si="2"/>
        <v>#VALUE!</v>
      </c>
      <c r="G32" s="34">
        <f t="shared" si="3"/>
        <v>42703</v>
      </c>
      <c r="H32" s="35">
        <f t="shared" si="4"/>
        <v>53.45</v>
      </c>
      <c r="I32" s="157">
        <v>40148</v>
      </c>
      <c r="J32" s="60" t="str">
        <f t="shared" si="9"/>
        <v>- - DONE - -</v>
      </c>
      <c r="K32" s="60" t="str">
        <f t="shared" si="9"/>
        <v>- - DONE - -</v>
      </c>
      <c r="L32" s="60" t="str">
        <f t="shared" si="9"/>
        <v>- - DONE - -</v>
      </c>
      <c r="M32" s="60" t="str">
        <f t="shared" si="9"/>
        <v>- - DONE - -</v>
      </c>
      <c r="N32" s="60" t="str">
        <f t="shared" si="9"/>
        <v>- - DONE - -</v>
      </c>
      <c r="O32" s="60" t="str">
        <f t="shared" si="9"/>
        <v>- - DONE - -</v>
      </c>
      <c r="P32" s="60" t="str">
        <f t="shared" si="9"/>
        <v>- - DONE - -</v>
      </c>
      <c r="Q32" s="60" t="str">
        <f t="shared" si="9"/>
        <v>- - DONE - -</v>
      </c>
      <c r="R32" s="60" t="str">
        <f t="shared" si="9"/>
        <v>- - DONE - -</v>
      </c>
      <c r="S32" s="60" t="str">
        <f t="shared" si="9"/>
        <v>- - DONE - -</v>
      </c>
      <c r="T32" s="60" t="str">
        <f t="shared" si="9"/>
        <v>- - DONE - -</v>
      </c>
      <c r="U32" s="158" t="str">
        <f t="shared" si="9"/>
        <v>- - DONE - -</v>
      </c>
      <c r="V32" s="159">
        <f t="shared" si="6"/>
        <v>0</v>
      </c>
      <c r="W32" s="60">
        <f t="shared" si="7"/>
        <v>0</v>
      </c>
      <c r="X32" s="337"/>
      <c r="Y32" s="241"/>
      <c r="Z32" s="241"/>
      <c r="AA32" s="241"/>
      <c r="AB32" s="241"/>
      <c r="AC32" s="241"/>
    </row>
    <row r="33" spans="1:29" s="149" customFormat="1" ht="14.25">
      <c r="A33" s="161">
        <v>9024.6200000000008</v>
      </c>
      <c r="B33" s="168"/>
      <c r="C33" s="160">
        <f t="shared" si="1"/>
        <v>107.10000000000036</v>
      </c>
      <c r="D33" s="390">
        <v>0</v>
      </c>
      <c r="E33" s="242">
        <v>48</v>
      </c>
      <c r="F33" s="243" t="e">
        <f t="shared" si="2"/>
        <v>#VALUE!</v>
      </c>
      <c r="G33" s="162">
        <f t="shared" si="3"/>
        <v>42734</v>
      </c>
      <c r="H33" s="163">
        <f t="shared" si="4"/>
        <v>107.44</v>
      </c>
      <c r="I33" s="164">
        <v>40179</v>
      </c>
      <c r="J33" s="165" t="str">
        <f t="shared" si="9"/>
        <v>- - DONE - -</v>
      </c>
      <c r="K33" s="165" t="str">
        <f t="shared" si="9"/>
        <v>- - DONE - -</v>
      </c>
      <c r="L33" s="165" t="str">
        <f t="shared" si="9"/>
        <v>- - DONE - -</v>
      </c>
      <c r="M33" s="165" t="str">
        <f t="shared" si="9"/>
        <v>- - DONE - -</v>
      </c>
      <c r="N33" s="165" t="str">
        <f t="shared" si="9"/>
        <v>- - DONE - -</v>
      </c>
      <c r="O33" s="165" t="str">
        <f t="shared" si="9"/>
        <v>- - DONE - -</v>
      </c>
      <c r="P33" s="165" t="str">
        <f t="shared" si="9"/>
        <v>- - DONE - -</v>
      </c>
      <c r="Q33" s="165" t="str">
        <f t="shared" si="9"/>
        <v>- - DONE - -</v>
      </c>
      <c r="R33" s="165" t="str">
        <f t="shared" si="9"/>
        <v>- - DONE - -</v>
      </c>
      <c r="S33" s="165" t="str">
        <f t="shared" si="9"/>
        <v>- - DONE - -</v>
      </c>
      <c r="T33" s="165" t="str">
        <f t="shared" si="9"/>
        <v>- - DONE - -</v>
      </c>
      <c r="U33" s="158" t="str">
        <f t="shared" si="9"/>
        <v>- - DONE - -</v>
      </c>
      <c r="V33" s="166">
        <f t="shared" si="6"/>
        <v>0</v>
      </c>
      <c r="W33" s="244">
        <f t="shared" si="7"/>
        <v>0</v>
      </c>
      <c r="X33" s="337"/>
      <c r="Y33" s="241"/>
      <c r="Z33" s="241"/>
      <c r="AA33" s="241"/>
      <c r="AB33" s="241"/>
      <c r="AC33" s="241"/>
    </row>
    <row r="34" spans="1:29" s="149" customFormat="1" ht="14.25">
      <c r="A34" s="152">
        <v>7960.71</v>
      </c>
      <c r="B34" s="168"/>
      <c r="C34" s="24">
        <f t="shared" si="1"/>
        <v>94.800000000000182</v>
      </c>
      <c r="D34" s="391">
        <v>0</v>
      </c>
      <c r="E34" s="240">
        <v>49</v>
      </c>
      <c r="F34" s="238" t="e">
        <f t="shared" si="2"/>
        <v>#VALUE!</v>
      </c>
      <c r="G34" s="34">
        <f t="shared" si="3"/>
        <v>42765</v>
      </c>
      <c r="H34" s="35">
        <f t="shared" si="4"/>
        <v>94.77</v>
      </c>
      <c r="I34" s="157">
        <v>40210</v>
      </c>
      <c r="J34" s="60" t="str">
        <f t="shared" si="9"/>
        <v>- - DONE - -</v>
      </c>
      <c r="K34" s="60" t="str">
        <f t="shared" si="9"/>
        <v>- - DONE - -</v>
      </c>
      <c r="L34" s="60" t="str">
        <f t="shared" si="9"/>
        <v>- - DONE - -</v>
      </c>
      <c r="M34" s="60" t="str">
        <f t="shared" si="9"/>
        <v>- - DONE - -</v>
      </c>
      <c r="N34" s="60" t="str">
        <f t="shared" si="9"/>
        <v>- - DONE - -</v>
      </c>
      <c r="O34" s="60" t="str">
        <f t="shared" si="9"/>
        <v>- - DONE - -</v>
      </c>
      <c r="P34" s="60" t="str">
        <f t="shared" si="9"/>
        <v>- - DONE - -</v>
      </c>
      <c r="Q34" s="60" t="str">
        <f t="shared" si="9"/>
        <v>- - DONE - -</v>
      </c>
      <c r="R34" s="60" t="str">
        <f t="shared" si="9"/>
        <v>- - DONE - -</v>
      </c>
      <c r="S34" s="60" t="str">
        <f t="shared" si="9"/>
        <v>- - DONE - -</v>
      </c>
      <c r="T34" s="60" t="str">
        <f t="shared" si="9"/>
        <v>- - DONE - -</v>
      </c>
      <c r="U34" s="158" t="str">
        <f t="shared" si="9"/>
        <v>- - DONE - -</v>
      </c>
      <c r="V34" s="159">
        <f t="shared" si="6"/>
        <v>0</v>
      </c>
      <c r="W34" s="153">
        <f t="shared" si="7"/>
        <v>0</v>
      </c>
      <c r="X34" s="337"/>
      <c r="Y34" s="241"/>
      <c r="Z34" s="241"/>
      <c r="AA34" s="241"/>
      <c r="AB34" s="241"/>
      <c r="AC34" s="241"/>
    </row>
    <row r="35" spans="1:29" s="149" customFormat="1" ht="14.25">
      <c r="A35" s="152">
        <v>13723.49</v>
      </c>
      <c r="B35" s="168"/>
      <c r="C35" s="24">
        <f t="shared" si="1"/>
        <v>163.77999999999884</v>
      </c>
      <c r="D35" s="391">
        <v>6.8212102632969618E-13</v>
      </c>
      <c r="E35" s="240">
        <v>50</v>
      </c>
      <c r="F35" s="238" t="e">
        <f t="shared" si="2"/>
        <v>#VALUE!</v>
      </c>
      <c r="G35" s="34">
        <f t="shared" si="3"/>
        <v>42793</v>
      </c>
      <c r="H35" s="35">
        <f t="shared" si="4"/>
        <v>163.37</v>
      </c>
      <c r="I35" s="157">
        <v>40238</v>
      </c>
      <c r="J35" s="60" t="str">
        <f t="shared" si="9"/>
        <v>- - DONE - -</v>
      </c>
      <c r="K35" s="60" t="str">
        <f t="shared" si="9"/>
        <v>- - DONE - -</v>
      </c>
      <c r="L35" s="60" t="str">
        <f t="shared" si="9"/>
        <v>- - DONE - -</v>
      </c>
      <c r="M35" s="60" t="str">
        <f t="shared" si="9"/>
        <v>- - DONE - -</v>
      </c>
      <c r="N35" s="60" t="str">
        <f t="shared" si="9"/>
        <v>- - DONE - -</v>
      </c>
      <c r="O35" s="60" t="str">
        <f t="shared" si="9"/>
        <v>- - DONE - -</v>
      </c>
      <c r="P35" s="60" t="str">
        <f t="shared" si="9"/>
        <v>- - DONE - -</v>
      </c>
      <c r="Q35" s="60" t="str">
        <f t="shared" si="9"/>
        <v>- - DONE - -</v>
      </c>
      <c r="R35" s="60" t="str">
        <f t="shared" si="9"/>
        <v>- - DONE - -</v>
      </c>
      <c r="S35" s="60" t="str">
        <f t="shared" si="9"/>
        <v>- - DONE - -</v>
      </c>
      <c r="T35" s="60" t="str">
        <f t="shared" si="9"/>
        <v>- - DONE - -</v>
      </c>
      <c r="U35" s="158" t="str">
        <f t="shared" si="9"/>
        <v>- - DONE - -</v>
      </c>
      <c r="V35" s="159">
        <f t="shared" si="6"/>
        <v>0</v>
      </c>
      <c r="W35" s="153">
        <f t="shared" si="7"/>
        <v>6.8212102632969618E-13</v>
      </c>
      <c r="X35" s="337"/>
      <c r="Y35" s="241"/>
      <c r="Z35" s="241"/>
      <c r="AA35" s="241"/>
      <c r="AB35" s="241"/>
      <c r="AC35" s="241"/>
    </row>
    <row r="36" spans="1:29" s="149" customFormat="1" ht="14.25">
      <c r="A36" s="152">
        <v>6409.23</v>
      </c>
      <c r="B36" s="168"/>
      <c r="C36" s="24">
        <f t="shared" si="1"/>
        <v>76.329999999999927</v>
      </c>
      <c r="D36" s="391">
        <v>2.2737367544323206E-13</v>
      </c>
      <c r="E36" s="240">
        <v>51</v>
      </c>
      <c r="F36" s="238" t="e">
        <f t="shared" si="2"/>
        <v>#VALUE!</v>
      </c>
      <c r="G36" s="34">
        <f t="shared" si="3"/>
        <v>42824</v>
      </c>
      <c r="H36" s="35">
        <f t="shared" si="4"/>
        <v>76.3</v>
      </c>
      <c r="I36" s="157">
        <v>40269</v>
      </c>
      <c r="J36" s="60" t="str">
        <f t="shared" si="9"/>
        <v>- - DONE - -</v>
      </c>
      <c r="K36" s="60" t="str">
        <f t="shared" si="9"/>
        <v>- - DONE - -</v>
      </c>
      <c r="L36" s="60" t="str">
        <f t="shared" si="9"/>
        <v>- - DONE - -</v>
      </c>
      <c r="M36" s="60" t="str">
        <f t="shared" si="9"/>
        <v>- - DONE - -</v>
      </c>
      <c r="N36" s="60" t="str">
        <f t="shared" si="9"/>
        <v>- - DONE - -</v>
      </c>
      <c r="O36" s="60" t="str">
        <f t="shared" si="9"/>
        <v>- - DONE - -</v>
      </c>
      <c r="P36" s="60" t="str">
        <f t="shared" si="9"/>
        <v>- - DONE - -</v>
      </c>
      <c r="Q36" s="60" t="str">
        <f t="shared" si="9"/>
        <v>- - DONE - -</v>
      </c>
      <c r="R36" s="60" t="str">
        <f t="shared" si="9"/>
        <v>- - DONE - -</v>
      </c>
      <c r="S36" s="60" t="str">
        <f t="shared" si="9"/>
        <v>- - DONE - -</v>
      </c>
      <c r="T36" s="60" t="str">
        <f t="shared" si="9"/>
        <v>- - DONE - -</v>
      </c>
      <c r="U36" s="158" t="str">
        <f t="shared" si="9"/>
        <v>- - DONE - -</v>
      </c>
      <c r="V36" s="159">
        <f t="shared" si="6"/>
        <v>0</v>
      </c>
      <c r="W36" s="153">
        <f t="shared" si="7"/>
        <v>2.2737367544323206E-13</v>
      </c>
      <c r="X36" s="337"/>
      <c r="Y36" s="241"/>
      <c r="Z36" s="241"/>
      <c r="AA36" s="241"/>
      <c r="AB36" s="241"/>
      <c r="AC36" s="241"/>
    </row>
    <row r="37" spans="1:29" s="149" customFormat="1" ht="14.25">
      <c r="A37" s="152">
        <v>3989.64</v>
      </c>
      <c r="B37" s="168"/>
      <c r="C37" s="24">
        <f t="shared" si="1"/>
        <v>47.139999999999873</v>
      </c>
      <c r="D37" s="391">
        <v>0</v>
      </c>
      <c r="E37" s="240">
        <v>52</v>
      </c>
      <c r="F37" s="238" t="e">
        <f t="shared" si="2"/>
        <v>#VALUE!</v>
      </c>
      <c r="G37" s="34">
        <f t="shared" si="3"/>
        <v>42854</v>
      </c>
      <c r="H37" s="35">
        <f t="shared" si="4"/>
        <v>47.5</v>
      </c>
      <c r="I37" s="157">
        <v>40299</v>
      </c>
      <c r="J37" s="60" t="str">
        <f t="shared" si="9"/>
        <v>- - DONE - -</v>
      </c>
      <c r="K37" s="60" t="str">
        <f t="shared" si="9"/>
        <v>- - DONE - -</v>
      </c>
      <c r="L37" s="60" t="str">
        <f t="shared" si="9"/>
        <v>- - DONE - -</v>
      </c>
      <c r="M37" s="60" t="str">
        <f t="shared" si="9"/>
        <v>- - DONE - -</v>
      </c>
      <c r="N37" s="60" t="str">
        <f t="shared" si="9"/>
        <v>- - DONE - -</v>
      </c>
      <c r="O37" s="60" t="str">
        <f t="shared" si="9"/>
        <v>- - DONE - -</v>
      </c>
      <c r="P37" s="60" t="str">
        <f t="shared" si="9"/>
        <v>- - DONE - -</v>
      </c>
      <c r="Q37" s="60" t="str">
        <f t="shared" si="9"/>
        <v>- - DONE - -</v>
      </c>
      <c r="R37" s="60" t="str">
        <f t="shared" si="9"/>
        <v>- - DONE - -</v>
      </c>
      <c r="S37" s="60" t="str">
        <f t="shared" si="9"/>
        <v>- - DONE - -</v>
      </c>
      <c r="T37" s="60" t="str">
        <f t="shared" si="9"/>
        <v>- - DONE - -</v>
      </c>
      <c r="U37" s="158" t="str">
        <f t="shared" si="9"/>
        <v>- - DONE - -</v>
      </c>
      <c r="V37" s="159">
        <f t="shared" si="6"/>
        <v>0</v>
      </c>
      <c r="W37" s="153">
        <f t="shared" si="7"/>
        <v>0</v>
      </c>
      <c r="X37" s="337"/>
      <c r="Y37" s="241"/>
      <c r="Z37" s="241"/>
      <c r="AA37" s="241"/>
      <c r="AB37" s="241"/>
      <c r="AC37" s="241"/>
    </row>
    <row r="38" spans="1:29" s="149" customFormat="1" ht="14.25">
      <c r="A38" s="152">
        <v>2894.27</v>
      </c>
      <c r="B38" s="168"/>
      <c r="C38" s="24">
        <f t="shared" si="1"/>
        <v>34.089999999999691</v>
      </c>
      <c r="D38" s="391">
        <v>-0.52999999999997272</v>
      </c>
      <c r="E38" s="240">
        <v>53</v>
      </c>
      <c r="F38" s="238" t="e">
        <f t="shared" si="2"/>
        <v>#VALUE!</v>
      </c>
      <c r="G38" s="34">
        <f t="shared" si="3"/>
        <v>42885</v>
      </c>
      <c r="H38" s="35">
        <f t="shared" si="4"/>
        <v>34.46</v>
      </c>
      <c r="I38" s="157">
        <v>40330</v>
      </c>
      <c r="J38" s="60" t="str">
        <f t="shared" si="9"/>
        <v>- - DONE - -</v>
      </c>
      <c r="K38" s="60" t="str">
        <f t="shared" si="9"/>
        <v>- - DONE - -</v>
      </c>
      <c r="L38" s="60" t="str">
        <f t="shared" si="9"/>
        <v>- - DONE - -</v>
      </c>
      <c r="M38" s="60" t="str">
        <f t="shared" si="9"/>
        <v>- - DONE - -</v>
      </c>
      <c r="N38" s="60" t="str">
        <f t="shared" si="9"/>
        <v>- - DONE - -</v>
      </c>
      <c r="O38" s="60" t="str">
        <f t="shared" si="9"/>
        <v>- - DONE - -</v>
      </c>
      <c r="P38" s="60" t="str">
        <f t="shared" si="9"/>
        <v>- - DONE - -</v>
      </c>
      <c r="Q38" s="60" t="str">
        <f t="shared" si="9"/>
        <v>- - DONE - -</v>
      </c>
      <c r="R38" s="60" t="str">
        <f t="shared" si="9"/>
        <v>- - DONE - -</v>
      </c>
      <c r="S38" s="60" t="str">
        <f t="shared" si="9"/>
        <v>- - DONE - -</v>
      </c>
      <c r="T38" s="60" t="str">
        <f t="shared" si="9"/>
        <v>- - DONE - -</v>
      </c>
      <c r="U38" s="158" t="str">
        <f t="shared" si="9"/>
        <v>- - DONE - -</v>
      </c>
      <c r="V38" s="159">
        <f t="shared" si="6"/>
        <v>0</v>
      </c>
      <c r="W38" s="153">
        <f t="shared" si="7"/>
        <v>-0.52999999999997272</v>
      </c>
      <c r="X38" s="337"/>
      <c r="Y38" s="241"/>
      <c r="Z38" s="241"/>
      <c r="AA38" s="241"/>
      <c r="AB38" s="241"/>
      <c r="AC38" s="241"/>
    </row>
    <row r="39" spans="1:29" s="149" customFormat="1" ht="14.25">
      <c r="A39" s="152">
        <v>9063.9</v>
      </c>
      <c r="B39" s="168"/>
      <c r="C39" s="24">
        <f t="shared" si="1"/>
        <v>108.19999999999891</v>
      </c>
      <c r="D39" s="391">
        <v>0.53999999999962256</v>
      </c>
      <c r="E39" s="240">
        <v>54</v>
      </c>
      <c r="F39" s="238" t="e">
        <f t="shared" si="2"/>
        <v>#VALUE!</v>
      </c>
      <c r="G39" s="34">
        <f t="shared" si="3"/>
        <v>42915</v>
      </c>
      <c r="H39" s="35">
        <f t="shared" si="4"/>
        <v>107.9</v>
      </c>
      <c r="I39" s="157">
        <v>40360</v>
      </c>
      <c r="J39" s="60" t="str">
        <f t="shared" ref="J39:U48" si="10">IF(J$7&lt;$I39,"",IF(J$7=$I39,+$C39,IF(J$7&lt;=$G39,+(ROUND(($A39-$C39)/83,2)),"- - DONE - -")))</f>
        <v>- - DONE - -</v>
      </c>
      <c r="K39" s="60" t="str">
        <f t="shared" si="10"/>
        <v>- - DONE - -</v>
      </c>
      <c r="L39" s="60" t="str">
        <f t="shared" si="10"/>
        <v>- - DONE - -</v>
      </c>
      <c r="M39" s="60" t="str">
        <f t="shared" si="10"/>
        <v>- - DONE - -</v>
      </c>
      <c r="N39" s="60" t="str">
        <f t="shared" si="10"/>
        <v>- - DONE - -</v>
      </c>
      <c r="O39" s="60" t="str">
        <f t="shared" si="10"/>
        <v>- - DONE - -</v>
      </c>
      <c r="P39" s="60" t="str">
        <f t="shared" si="10"/>
        <v>- - DONE - -</v>
      </c>
      <c r="Q39" s="60" t="str">
        <f t="shared" si="10"/>
        <v>- - DONE - -</v>
      </c>
      <c r="R39" s="60" t="str">
        <f t="shared" si="10"/>
        <v>- - DONE - -</v>
      </c>
      <c r="S39" s="60" t="str">
        <f t="shared" si="10"/>
        <v>- - DONE - -</v>
      </c>
      <c r="T39" s="60" t="str">
        <f t="shared" si="10"/>
        <v>- - DONE - -</v>
      </c>
      <c r="U39" s="158" t="str">
        <f t="shared" si="10"/>
        <v>- - DONE - -</v>
      </c>
      <c r="V39" s="159">
        <f t="shared" si="6"/>
        <v>0</v>
      </c>
      <c r="W39" s="153">
        <f t="shared" si="7"/>
        <v>0.53999999999962256</v>
      </c>
      <c r="X39" s="337"/>
      <c r="Y39" s="241"/>
      <c r="Z39" s="241"/>
      <c r="AA39" s="241"/>
      <c r="AB39" s="241"/>
      <c r="AC39" s="241"/>
    </row>
    <row r="40" spans="1:29" s="149" customFormat="1" ht="14.25">
      <c r="A40" s="152">
        <v>4984.78</v>
      </c>
      <c r="B40" s="168"/>
      <c r="C40" s="24">
        <f t="shared" si="1"/>
        <v>59.559999999999491</v>
      </c>
      <c r="D40" s="391">
        <v>-7.9580786405131221E-13</v>
      </c>
      <c r="E40" s="240">
        <v>55</v>
      </c>
      <c r="F40" s="238" t="e">
        <f t="shared" si="2"/>
        <v>#VALUE!</v>
      </c>
      <c r="G40" s="34">
        <f t="shared" si="3"/>
        <v>42946</v>
      </c>
      <c r="H40" s="35">
        <f t="shared" si="4"/>
        <v>59.34</v>
      </c>
      <c r="I40" s="157">
        <v>40391</v>
      </c>
      <c r="J40" s="60" t="str">
        <f t="shared" si="10"/>
        <v>- - DONE - -</v>
      </c>
      <c r="K40" s="60" t="str">
        <f t="shared" si="10"/>
        <v>- - DONE - -</v>
      </c>
      <c r="L40" s="60" t="str">
        <f t="shared" si="10"/>
        <v>- - DONE - -</v>
      </c>
      <c r="M40" s="60" t="str">
        <f t="shared" si="10"/>
        <v>- - DONE - -</v>
      </c>
      <c r="N40" s="60" t="str">
        <f t="shared" si="10"/>
        <v>- - DONE - -</v>
      </c>
      <c r="O40" s="60" t="str">
        <f t="shared" si="10"/>
        <v>- - DONE - -</v>
      </c>
      <c r="P40" s="60" t="str">
        <f t="shared" si="10"/>
        <v>- - DONE - -</v>
      </c>
      <c r="Q40" s="60" t="str">
        <f t="shared" si="10"/>
        <v>- - DONE - -</v>
      </c>
      <c r="R40" s="60" t="str">
        <f t="shared" si="10"/>
        <v>- - DONE - -</v>
      </c>
      <c r="S40" s="60" t="str">
        <f t="shared" si="10"/>
        <v>- - DONE - -</v>
      </c>
      <c r="T40" s="60" t="str">
        <f t="shared" si="10"/>
        <v>- - DONE - -</v>
      </c>
      <c r="U40" s="158" t="str">
        <f t="shared" si="10"/>
        <v>- - DONE - -</v>
      </c>
      <c r="V40" s="159">
        <f t="shared" si="6"/>
        <v>0</v>
      </c>
      <c r="W40" s="153">
        <f t="shared" si="7"/>
        <v>-7.9580786405131221E-13</v>
      </c>
      <c r="X40" s="337"/>
      <c r="Y40" s="241"/>
      <c r="Z40" s="241"/>
      <c r="AA40" s="241"/>
      <c r="AB40" s="241"/>
      <c r="AC40" s="241"/>
    </row>
    <row r="41" spans="1:29" s="149" customFormat="1" ht="14.25">
      <c r="A41" s="152">
        <v>39736.269999999997</v>
      </c>
      <c r="B41" s="168"/>
      <c r="C41" s="24">
        <f t="shared" ref="C41:C72" si="11">+A41-ROUND(A41/84,2)*83</f>
        <v>473.11999999999534</v>
      </c>
      <c r="D41" s="391">
        <v>0</v>
      </c>
      <c r="E41" s="240">
        <v>56</v>
      </c>
      <c r="F41" s="238" t="e">
        <f t="shared" ref="F41:F68" si="12">+E41*J41</f>
        <v>#VALUE!</v>
      </c>
      <c r="G41" s="34">
        <f t="shared" ref="G41:G72" si="13">+I41+2555</f>
        <v>42977</v>
      </c>
      <c r="H41" s="35">
        <f t="shared" ref="H41:H72" si="14">+ROUND((+A41-C41)/83,2)</f>
        <v>473.05</v>
      </c>
      <c r="I41" s="157">
        <v>40422</v>
      </c>
      <c r="J41" s="60" t="str">
        <f t="shared" si="10"/>
        <v>- - DONE - -</v>
      </c>
      <c r="K41" s="60" t="str">
        <f t="shared" si="10"/>
        <v>- - DONE - -</v>
      </c>
      <c r="L41" s="60" t="str">
        <f t="shared" si="10"/>
        <v>- - DONE - -</v>
      </c>
      <c r="M41" s="60" t="str">
        <f t="shared" si="10"/>
        <v>- - DONE - -</v>
      </c>
      <c r="N41" s="60" t="str">
        <f t="shared" si="10"/>
        <v>- - DONE - -</v>
      </c>
      <c r="O41" s="60" t="str">
        <f t="shared" si="10"/>
        <v>- - DONE - -</v>
      </c>
      <c r="P41" s="60" t="str">
        <f t="shared" si="10"/>
        <v>- - DONE - -</v>
      </c>
      <c r="Q41" s="60" t="str">
        <f t="shared" si="10"/>
        <v>- - DONE - -</v>
      </c>
      <c r="R41" s="60" t="str">
        <f t="shared" si="10"/>
        <v>- - DONE - -</v>
      </c>
      <c r="S41" s="60" t="str">
        <f t="shared" si="10"/>
        <v>- - DONE - -</v>
      </c>
      <c r="T41" s="60" t="str">
        <f t="shared" si="10"/>
        <v>- - DONE - -</v>
      </c>
      <c r="U41" s="158" t="str">
        <f t="shared" si="10"/>
        <v>- - DONE - -</v>
      </c>
      <c r="V41" s="159">
        <f t="shared" ref="V41:V72" si="15">SUM(J41:U41)</f>
        <v>0</v>
      </c>
      <c r="W41" s="153">
        <f t="shared" ref="W41:W72" si="16">D41-V41</f>
        <v>0</v>
      </c>
      <c r="X41" s="337"/>
      <c r="Y41" s="241"/>
      <c r="Z41" s="241"/>
      <c r="AA41" s="241"/>
      <c r="AB41" s="241"/>
      <c r="AC41" s="241"/>
    </row>
    <row r="42" spans="1:29" s="149" customFormat="1" ht="14.25">
      <c r="A42" s="152">
        <v>2485.9</v>
      </c>
      <c r="B42" s="168"/>
      <c r="C42" s="24">
        <f t="shared" si="11"/>
        <v>29.930000000000291</v>
      </c>
      <c r="D42" s="391">
        <v>0</v>
      </c>
      <c r="E42" s="240">
        <v>57</v>
      </c>
      <c r="F42" s="238" t="e">
        <f t="shared" si="12"/>
        <v>#VALUE!</v>
      </c>
      <c r="G42" s="34">
        <f t="shared" si="13"/>
        <v>43007</v>
      </c>
      <c r="H42" s="35">
        <f t="shared" si="14"/>
        <v>29.59</v>
      </c>
      <c r="I42" s="157">
        <v>40452</v>
      </c>
      <c r="J42" s="60" t="str">
        <f t="shared" si="10"/>
        <v>- - DONE - -</v>
      </c>
      <c r="K42" s="60" t="str">
        <f t="shared" si="10"/>
        <v>- - DONE - -</v>
      </c>
      <c r="L42" s="60" t="str">
        <f t="shared" si="10"/>
        <v>- - DONE - -</v>
      </c>
      <c r="M42" s="60" t="str">
        <f t="shared" si="10"/>
        <v>- - DONE - -</v>
      </c>
      <c r="N42" s="60" t="str">
        <f t="shared" si="10"/>
        <v>- - DONE - -</v>
      </c>
      <c r="O42" s="60" t="str">
        <f t="shared" si="10"/>
        <v>- - DONE - -</v>
      </c>
      <c r="P42" s="60" t="str">
        <f t="shared" si="10"/>
        <v>- - DONE - -</v>
      </c>
      <c r="Q42" s="60" t="str">
        <f t="shared" si="10"/>
        <v>- - DONE - -</v>
      </c>
      <c r="R42" s="60" t="str">
        <f t="shared" si="10"/>
        <v>- - DONE - -</v>
      </c>
      <c r="S42" s="60" t="str">
        <f t="shared" si="10"/>
        <v>- - DONE - -</v>
      </c>
      <c r="T42" s="60" t="str">
        <f t="shared" si="10"/>
        <v>- - DONE - -</v>
      </c>
      <c r="U42" s="158" t="str">
        <f t="shared" si="10"/>
        <v>- - DONE - -</v>
      </c>
      <c r="V42" s="159">
        <f t="shared" si="15"/>
        <v>0</v>
      </c>
      <c r="W42" s="153">
        <f t="shared" si="16"/>
        <v>0</v>
      </c>
      <c r="X42" s="337"/>
      <c r="Y42" s="241"/>
      <c r="Z42" s="241"/>
      <c r="AA42" s="241"/>
      <c r="AB42" s="241"/>
      <c r="AC42" s="241"/>
    </row>
    <row r="43" spans="1:29" s="149" customFormat="1" ht="14.25">
      <c r="A43" s="152">
        <v>3914.28</v>
      </c>
      <c r="B43" s="168"/>
      <c r="C43" s="24">
        <f t="shared" si="11"/>
        <v>46.480000000000018</v>
      </c>
      <c r="D43" s="391">
        <v>-4.5474735088646412E-13</v>
      </c>
      <c r="E43" s="240">
        <v>58</v>
      </c>
      <c r="F43" s="238" t="e">
        <f t="shared" si="12"/>
        <v>#VALUE!</v>
      </c>
      <c r="G43" s="34">
        <f t="shared" si="13"/>
        <v>43038</v>
      </c>
      <c r="H43" s="35">
        <f t="shared" si="14"/>
        <v>46.6</v>
      </c>
      <c r="I43" s="157">
        <v>40483</v>
      </c>
      <c r="J43" s="60" t="str">
        <f t="shared" si="10"/>
        <v>- - DONE - -</v>
      </c>
      <c r="K43" s="60" t="str">
        <f t="shared" si="10"/>
        <v>- - DONE - -</v>
      </c>
      <c r="L43" s="60" t="str">
        <f t="shared" si="10"/>
        <v>- - DONE - -</v>
      </c>
      <c r="M43" s="60" t="str">
        <f t="shared" si="10"/>
        <v>- - DONE - -</v>
      </c>
      <c r="N43" s="60" t="str">
        <f t="shared" si="10"/>
        <v>- - DONE - -</v>
      </c>
      <c r="O43" s="60" t="str">
        <f t="shared" si="10"/>
        <v>- - DONE - -</v>
      </c>
      <c r="P43" s="60" t="str">
        <f t="shared" si="10"/>
        <v>- - DONE - -</v>
      </c>
      <c r="Q43" s="60" t="str">
        <f t="shared" si="10"/>
        <v>- - DONE - -</v>
      </c>
      <c r="R43" s="60" t="str">
        <f t="shared" si="10"/>
        <v>- - DONE - -</v>
      </c>
      <c r="S43" s="60" t="str">
        <f t="shared" si="10"/>
        <v>- - DONE - -</v>
      </c>
      <c r="T43" s="60" t="str">
        <f t="shared" si="10"/>
        <v>- - DONE - -</v>
      </c>
      <c r="U43" s="158" t="str">
        <f t="shared" si="10"/>
        <v>- - DONE - -</v>
      </c>
      <c r="V43" s="159">
        <f t="shared" si="15"/>
        <v>0</v>
      </c>
      <c r="W43" s="153">
        <f t="shared" si="16"/>
        <v>-4.5474735088646412E-13</v>
      </c>
      <c r="X43" s="337"/>
      <c r="Y43" s="241"/>
      <c r="Z43" s="241"/>
      <c r="AA43" s="241"/>
      <c r="AB43" s="241"/>
      <c r="AC43" s="241"/>
    </row>
    <row r="44" spans="1:29" s="149" customFormat="1" ht="14.25">
      <c r="A44" s="152">
        <v>4769.83</v>
      </c>
      <c r="B44" s="169"/>
      <c r="C44" s="24">
        <f t="shared" si="11"/>
        <v>57.090000000000146</v>
      </c>
      <c r="D44" s="393">
        <v>0</v>
      </c>
      <c r="E44" s="240">
        <v>59</v>
      </c>
      <c r="F44" s="240" t="e">
        <f t="shared" si="12"/>
        <v>#VALUE!</v>
      </c>
      <c r="G44" s="34">
        <f t="shared" si="13"/>
        <v>43068</v>
      </c>
      <c r="H44" s="35">
        <f t="shared" si="14"/>
        <v>56.78</v>
      </c>
      <c r="I44" s="157">
        <v>40513</v>
      </c>
      <c r="J44" s="60" t="str">
        <f t="shared" si="10"/>
        <v>- - DONE - -</v>
      </c>
      <c r="K44" s="60" t="str">
        <f t="shared" si="10"/>
        <v>- - DONE - -</v>
      </c>
      <c r="L44" s="60" t="str">
        <f t="shared" si="10"/>
        <v>- - DONE - -</v>
      </c>
      <c r="M44" s="60" t="str">
        <f t="shared" si="10"/>
        <v>- - DONE - -</v>
      </c>
      <c r="N44" s="60" t="str">
        <f t="shared" si="10"/>
        <v>- - DONE - -</v>
      </c>
      <c r="O44" s="60" t="str">
        <f t="shared" si="10"/>
        <v>- - DONE - -</v>
      </c>
      <c r="P44" s="60" t="str">
        <f t="shared" si="10"/>
        <v>- - DONE - -</v>
      </c>
      <c r="Q44" s="60" t="str">
        <f t="shared" si="10"/>
        <v>- - DONE - -</v>
      </c>
      <c r="R44" s="60" t="str">
        <f t="shared" si="10"/>
        <v>- - DONE - -</v>
      </c>
      <c r="S44" s="60" t="str">
        <f t="shared" si="10"/>
        <v>- - DONE - -</v>
      </c>
      <c r="T44" s="60" t="str">
        <f t="shared" si="10"/>
        <v>- - DONE - -</v>
      </c>
      <c r="U44" s="158" t="str">
        <f t="shared" si="10"/>
        <v>- - DONE - -</v>
      </c>
      <c r="V44" s="159">
        <f t="shared" si="15"/>
        <v>0</v>
      </c>
      <c r="W44" s="153">
        <f t="shared" si="16"/>
        <v>0</v>
      </c>
      <c r="X44" s="337"/>
      <c r="Y44" s="241"/>
      <c r="Z44" s="241"/>
      <c r="AA44" s="241"/>
      <c r="AB44" s="241"/>
      <c r="AC44" s="241"/>
    </row>
    <row r="45" spans="1:29" s="149" customFormat="1" ht="14.25">
      <c r="A45" s="161">
        <v>5580.81</v>
      </c>
      <c r="B45" s="168"/>
      <c r="C45" s="160">
        <f t="shared" si="11"/>
        <v>66.290000000000873</v>
      </c>
      <c r="D45" s="390">
        <v>0</v>
      </c>
      <c r="E45" s="242">
        <v>60</v>
      </c>
      <c r="F45" s="243" t="e">
        <f t="shared" si="12"/>
        <v>#VALUE!</v>
      </c>
      <c r="G45" s="162">
        <f t="shared" si="13"/>
        <v>43099</v>
      </c>
      <c r="H45" s="163">
        <f t="shared" si="14"/>
        <v>66.44</v>
      </c>
      <c r="I45" s="164">
        <v>40544</v>
      </c>
      <c r="J45" s="165" t="str">
        <f t="shared" si="10"/>
        <v>- - DONE - -</v>
      </c>
      <c r="K45" s="165" t="str">
        <f t="shared" si="10"/>
        <v>- - DONE - -</v>
      </c>
      <c r="L45" s="165" t="str">
        <f t="shared" si="10"/>
        <v>- - DONE - -</v>
      </c>
      <c r="M45" s="165" t="str">
        <f t="shared" si="10"/>
        <v>- - DONE - -</v>
      </c>
      <c r="N45" s="165" t="str">
        <f t="shared" si="10"/>
        <v>- - DONE - -</v>
      </c>
      <c r="O45" s="165" t="str">
        <f t="shared" si="10"/>
        <v>- - DONE - -</v>
      </c>
      <c r="P45" s="165" t="str">
        <f t="shared" si="10"/>
        <v>- - DONE - -</v>
      </c>
      <c r="Q45" s="165" t="str">
        <f t="shared" si="10"/>
        <v>- - DONE - -</v>
      </c>
      <c r="R45" s="165" t="str">
        <f t="shared" si="10"/>
        <v>- - DONE - -</v>
      </c>
      <c r="S45" s="165" t="str">
        <f t="shared" si="10"/>
        <v>- - DONE - -</v>
      </c>
      <c r="T45" s="165" t="str">
        <f t="shared" si="10"/>
        <v>- - DONE - -</v>
      </c>
      <c r="U45" s="167" t="str">
        <f t="shared" si="10"/>
        <v>- - DONE - -</v>
      </c>
      <c r="V45" s="166">
        <f t="shared" si="15"/>
        <v>0</v>
      </c>
      <c r="W45" s="244">
        <f t="shared" si="16"/>
        <v>0</v>
      </c>
      <c r="X45" s="337"/>
      <c r="Y45" s="241"/>
      <c r="Z45" s="241"/>
      <c r="AA45" s="241"/>
      <c r="AB45" s="241"/>
      <c r="AC45" s="241"/>
    </row>
    <row r="46" spans="1:29" s="149" customFormat="1" ht="14.25">
      <c r="A46" s="152">
        <v>8749.73</v>
      </c>
      <c r="B46" s="168"/>
      <c r="C46" s="24">
        <f t="shared" si="11"/>
        <v>104.45000000000073</v>
      </c>
      <c r="D46" s="391">
        <v>0.60999999999998522</v>
      </c>
      <c r="E46" s="240">
        <v>61</v>
      </c>
      <c r="F46" s="238" t="e">
        <f t="shared" si="12"/>
        <v>#VALUE!</v>
      </c>
      <c r="G46" s="34">
        <f t="shared" si="13"/>
        <v>43130</v>
      </c>
      <c r="H46" s="35">
        <f t="shared" si="14"/>
        <v>104.16</v>
      </c>
      <c r="I46" s="157">
        <v>40575</v>
      </c>
      <c r="J46" s="60" t="str">
        <f t="shared" si="10"/>
        <v>- - DONE - -</v>
      </c>
      <c r="K46" s="60" t="str">
        <f t="shared" si="10"/>
        <v>- - DONE - -</v>
      </c>
      <c r="L46" s="60" t="str">
        <f t="shared" si="10"/>
        <v>- - DONE - -</v>
      </c>
      <c r="M46" s="60" t="str">
        <f t="shared" si="10"/>
        <v>- - DONE - -</v>
      </c>
      <c r="N46" s="60" t="str">
        <f t="shared" si="10"/>
        <v>- - DONE - -</v>
      </c>
      <c r="O46" s="60" t="str">
        <f t="shared" si="10"/>
        <v>- - DONE - -</v>
      </c>
      <c r="P46" s="60" t="str">
        <f t="shared" si="10"/>
        <v>- - DONE - -</v>
      </c>
      <c r="Q46" s="60" t="str">
        <f t="shared" si="10"/>
        <v>- - DONE - -</v>
      </c>
      <c r="R46" s="60" t="str">
        <f t="shared" si="10"/>
        <v>- - DONE - -</v>
      </c>
      <c r="S46" s="60" t="str">
        <f t="shared" si="10"/>
        <v>- - DONE - -</v>
      </c>
      <c r="T46" s="60" t="str">
        <f t="shared" si="10"/>
        <v>- - DONE - -</v>
      </c>
      <c r="U46" s="158" t="str">
        <f t="shared" si="10"/>
        <v>- - DONE - -</v>
      </c>
      <c r="V46" s="159">
        <f t="shared" si="15"/>
        <v>0</v>
      </c>
      <c r="W46" s="153">
        <f t="shared" si="16"/>
        <v>0.60999999999998522</v>
      </c>
      <c r="X46" s="337"/>
      <c r="Y46" s="241"/>
      <c r="Z46" s="241"/>
      <c r="AA46" s="241"/>
      <c r="AB46" s="241"/>
      <c r="AC46" s="241"/>
    </row>
    <row r="47" spans="1:29" s="149" customFormat="1" ht="14.25">
      <c r="A47" s="152">
        <v>458.13</v>
      </c>
      <c r="B47" s="168"/>
      <c r="C47" s="24">
        <f t="shared" si="11"/>
        <v>5.7799999999999727</v>
      </c>
      <c r="D47" s="391">
        <v>-5.1514348342607263E-14</v>
      </c>
      <c r="E47" s="240">
        <v>62</v>
      </c>
      <c r="F47" s="238" t="e">
        <f t="shared" si="12"/>
        <v>#VALUE!</v>
      </c>
      <c r="G47" s="34">
        <f t="shared" si="13"/>
        <v>43158</v>
      </c>
      <c r="H47" s="35">
        <f t="shared" si="14"/>
        <v>5.45</v>
      </c>
      <c r="I47" s="157">
        <v>40603</v>
      </c>
      <c r="J47" s="60" t="str">
        <f t="shared" si="10"/>
        <v>- - DONE - -</v>
      </c>
      <c r="K47" s="60" t="str">
        <f t="shared" si="10"/>
        <v>- - DONE - -</v>
      </c>
      <c r="L47" s="60" t="str">
        <f t="shared" si="10"/>
        <v>- - DONE - -</v>
      </c>
      <c r="M47" s="60" t="str">
        <f t="shared" si="10"/>
        <v>- - DONE - -</v>
      </c>
      <c r="N47" s="60" t="str">
        <f t="shared" si="10"/>
        <v>- - DONE - -</v>
      </c>
      <c r="O47" s="60" t="str">
        <f t="shared" si="10"/>
        <v>- - DONE - -</v>
      </c>
      <c r="P47" s="60" t="str">
        <f t="shared" si="10"/>
        <v>- - DONE - -</v>
      </c>
      <c r="Q47" s="60" t="str">
        <f t="shared" si="10"/>
        <v>- - DONE - -</v>
      </c>
      <c r="R47" s="60" t="str">
        <f t="shared" si="10"/>
        <v>- - DONE - -</v>
      </c>
      <c r="S47" s="60" t="str">
        <f t="shared" si="10"/>
        <v>- - DONE - -</v>
      </c>
      <c r="T47" s="60" t="str">
        <f t="shared" si="10"/>
        <v>- - DONE - -</v>
      </c>
      <c r="U47" s="158" t="str">
        <f t="shared" si="10"/>
        <v>- - DONE - -</v>
      </c>
      <c r="V47" s="159">
        <f t="shared" si="15"/>
        <v>0</v>
      </c>
      <c r="W47" s="153">
        <f t="shared" si="16"/>
        <v>-5.1514348342607263E-14</v>
      </c>
      <c r="X47" s="337"/>
      <c r="Y47" s="241"/>
      <c r="Z47" s="241"/>
      <c r="AA47" s="241"/>
      <c r="AB47" s="241"/>
      <c r="AC47" s="241"/>
    </row>
    <row r="48" spans="1:29" s="149" customFormat="1" ht="14.25">
      <c r="A48" s="152">
        <v>2610.29</v>
      </c>
      <c r="B48" s="168"/>
      <c r="C48" s="24">
        <f t="shared" si="11"/>
        <v>31.480000000000018</v>
      </c>
      <c r="D48" s="391">
        <v>0.63000000000002387</v>
      </c>
      <c r="E48" s="240">
        <v>63</v>
      </c>
      <c r="F48" s="238" t="e">
        <f t="shared" si="12"/>
        <v>#VALUE!</v>
      </c>
      <c r="G48" s="34">
        <f t="shared" si="13"/>
        <v>43189</v>
      </c>
      <c r="H48" s="35">
        <f t="shared" si="14"/>
        <v>31.07</v>
      </c>
      <c r="I48" s="157">
        <v>40634</v>
      </c>
      <c r="J48" s="60" t="str">
        <f t="shared" si="10"/>
        <v>- - DONE - -</v>
      </c>
      <c r="K48" s="60" t="str">
        <f t="shared" si="10"/>
        <v>- - DONE - -</v>
      </c>
      <c r="L48" s="60" t="str">
        <f t="shared" si="10"/>
        <v>- - DONE - -</v>
      </c>
      <c r="M48" s="60" t="str">
        <f t="shared" si="10"/>
        <v>- - DONE - -</v>
      </c>
      <c r="N48" s="60" t="str">
        <f t="shared" si="10"/>
        <v>- - DONE - -</v>
      </c>
      <c r="O48" s="60" t="str">
        <f t="shared" si="10"/>
        <v>- - DONE - -</v>
      </c>
      <c r="P48" s="60" t="str">
        <f t="shared" si="10"/>
        <v>- - DONE - -</v>
      </c>
      <c r="Q48" s="60" t="str">
        <f t="shared" si="10"/>
        <v>- - DONE - -</v>
      </c>
      <c r="R48" s="60" t="str">
        <f t="shared" si="10"/>
        <v>- - DONE - -</v>
      </c>
      <c r="S48" s="60" t="str">
        <f t="shared" si="10"/>
        <v>- - DONE - -</v>
      </c>
      <c r="T48" s="60" t="str">
        <f t="shared" si="10"/>
        <v>- - DONE - -</v>
      </c>
      <c r="U48" s="158" t="str">
        <f t="shared" si="10"/>
        <v>- - DONE - -</v>
      </c>
      <c r="V48" s="159">
        <f t="shared" si="15"/>
        <v>0</v>
      </c>
      <c r="W48" s="153">
        <f t="shared" si="16"/>
        <v>0.63000000000002387</v>
      </c>
      <c r="X48" s="337"/>
      <c r="Y48" s="241"/>
      <c r="Z48" s="241"/>
      <c r="AA48" s="241"/>
      <c r="AB48" s="241"/>
      <c r="AC48" s="241"/>
    </row>
    <row r="49" spans="1:29" s="149" customFormat="1" ht="14.25">
      <c r="A49" s="152">
        <v>3536.89</v>
      </c>
      <c r="B49" s="168"/>
      <c r="C49" s="24">
        <f t="shared" si="11"/>
        <v>41.759999999999764</v>
      </c>
      <c r="D49" s="391">
        <v>-3.4106051316484809E-13</v>
      </c>
      <c r="E49" s="240">
        <v>64</v>
      </c>
      <c r="F49" s="238" t="e">
        <f t="shared" si="12"/>
        <v>#VALUE!</v>
      </c>
      <c r="G49" s="34">
        <f t="shared" si="13"/>
        <v>43219</v>
      </c>
      <c r="H49" s="35">
        <f t="shared" si="14"/>
        <v>42.11</v>
      </c>
      <c r="I49" s="157">
        <v>40664</v>
      </c>
      <c r="J49" s="60" t="str">
        <f t="shared" ref="J49:U58" si="17">IF(J$7&lt;$I49,"",IF(J$7=$I49,+$C49,IF(J$7&lt;=$G49,+(ROUND(($A49-$C49)/83,2)),"- - DONE - -")))</f>
        <v>- - DONE - -</v>
      </c>
      <c r="K49" s="60" t="str">
        <f t="shared" si="17"/>
        <v>- - DONE - -</v>
      </c>
      <c r="L49" s="60" t="str">
        <f t="shared" si="17"/>
        <v>- - DONE - -</v>
      </c>
      <c r="M49" s="60" t="str">
        <f t="shared" si="17"/>
        <v>- - DONE - -</v>
      </c>
      <c r="N49" s="60" t="str">
        <f t="shared" si="17"/>
        <v>- - DONE - -</v>
      </c>
      <c r="O49" s="60" t="str">
        <f t="shared" si="17"/>
        <v>- - DONE - -</v>
      </c>
      <c r="P49" s="60" t="str">
        <f t="shared" si="17"/>
        <v>- - DONE - -</v>
      </c>
      <c r="Q49" s="60" t="str">
        <f t="shared" si="17"/>
        <v>- - DONE - -</v>
      </c>
      <c r="R49" s="60" t="str">
        <f t="shared" si="17"/>
        <v>- - DONE - -</v>
      </c>
      <c r="S49" s="60" t="str">
        <f t="shared" si="17"/>
        <v>- - DONE - -</v>
      </c>
      <c r="T49" s="60" t="str">
        <f t="shared" si="17"/>
        <v>- - DONE - -</v>
      </c>
      <c r="U49" s="158" t="str">
        <f t="shared" si="17"/>
        <v>- - DONE - -</v>
      </c>
      <c r="V49" s="159">
        <f t="shared" si="15"/>
        <v>0</v>
      </c>
      <c r="W49" s="153">
        <f t="shared" si="16"/>
        <v>-3.4106051316484809E-13</v>
      </c>
      <c r="X49" s="337"/>
      <c r="Y49" s="241"/>
      <c r="Z49" s="241"/>
      <c r="AA49" s="241"/>
      <c r="AB49" s="241"/>
      <c r="AC49" s="241"/>
    </row>
    <row r="50" spans="1:29" s="149" customFormat="1" ht="14.25">
      <c r="A50" s="152">
        <v>5259.18</v>
      </c>
      <c r="B50" s="168"/>
      <c r="C50" s="24">
        <f t="shared" si="11"/>
        <v>62.550000000000182</v>
      </c>
      <c r="D50" s="391">
        <v>0</v>
      </c>
      <c r="E50" s="240">
        <v>65</v>
      </c>
      <c r="F50" s="238" t="e">
        <f t="shared" si="12"/>
        <v>#VALUE!</v>
      </c>
      <c r="G50" s="34">
        <f t="shared" si="13"/>
        <v>43250</v>
      </c>
      <c r="H50" s="35">
        <f t="shared" si="14"/>
        <v>62.61</v>
      </c>
      <c r="I50" s="157">
        <v>40695</v>
      </c>
      <c r="J50" s="60" t="str">
        <f t="shared" si="17"/>
        <v>- - DONE - -</v>
      </c>
      <c r="K50" s="60" t="str">
        <f t="shared" si="17"/>
        <v>- - DONE - -</v>
      </c>
      <c r="L50" s="60" t="str">
        <f t="shared" si="17"/>
        <v>- - DONE - -</v>
      </c>
      <c r="M50" s="60" t="str">
        <f t="shared" si="17"/>
        <v>- - DONE - -</v>
      </c>
      <c r="N50" s="60" t="str">
        <f t="shared" si="17"/>
        <v>- - DONE - -</v>
      </c>
      <c r="O50" s="60" t="str">
        <f t="shared" si="17"/>
        <v>- - DONE - -</v>
      </c>
      <c r="P50" s="60" t="str">
        <f t="shared" si="17"/>
        <v>- - DONE - -</v>
      </c>
      <c r="Q50" s="60" t="str">
        <f t="shared" si="17"/>
        <v>- - DONE - -</v>
      </c>
      <c r="R50" s="60" t="str">
        <f t="shared" si="17"/>
        <v>- - DONE - -</v>
      </c>
      <c r="S50" s="60" t="str">
        <f t="shared" si="17"/>
        <v>- - DONE - -</v>
      </c>
      <c r="T50" s="60" t="str">
        <f t="shared" si="17"/>
        <v>- - DONE - -</v>
      </c>
      <c r="U50" s="158" t="str">
        <f t="shared" si="17"/>
        <v>- - DONE - -</v>
      </c>
      <c r="V50" s="159">
        <f t="shared" si="15"/>
        <v>0</v>
      </c>
      <c r="W50" s="153">
        <f t="shared" si="16"/>
        <v>0</v>
      </c>
      <c r="X50" s="337"/>
      <c r="Y50" s="241"/>
      <c r="Z50" s="241"/>
      <c r="AA50" s="241"/>
      <c r="AB50" s="241"/>
      <c r="AC50" s="241"/>
    </row>
    <row r="51" spans="1:29" s="149" customFormat="1" ht="14.25">
      <c r="A51" s="152">
        <v>14355.02</v>
      </c>
      <c r="B51" s="168"/>
      <c r="C51" s="24">
        <f t="shared" si="11"/>
        <v>171.15000000000146</v>
      </c>
      <c r="D51" s="391">
        <v>2.0463630789890885E-12</v>
      </c>
      <c r="E51" s="240">
        <v>66</v>
      </c>
      <c r="F51" s="238" t="e">
        <f t="shared" si="12"/>
        <v>#VALUE!</v>
      </c>
      <c r="G51" s="34">
        <f t="shared" si="13"/>
        <v>43280</v>
      </c>
      <c r="H51" s="35">
        <f t="shared" si="14"/>
        <v>170.89</v>
      </c>
      <c r="I51" s="157">
        <v>40725</v>
      </c>
      <c r="J51" s="60" t="str">
        <f t="shared" si="17"/>
        <v>- - DONE - -</v>
      </c>
      <c r="K51" s="60" t="str">
        <f t="shared" si="17"/>
        <v>- - DONE - -</v>
      </c>
      <c r="L51" s="60" t="str">
        <f t="shared" si="17"/>
        <v>- - DONE - -</v>
      </c>
      <c r="M51" s="60" t="str">
        <f t="shared" si="17"/>
        <v>- - DONE - -</v>
      </c>
      <c r="N51" s="60" t="str">
        <f t="shared" si="17"/>
        <v>- - DONE - -</v>
      </c>
      <c r="O51" s="60" t="str">
        <f t="shared" si="17"/>
        <v>- - DONE - -</v>
      </c>
      <c r="P51" s="60" t="str">
        <f t="shared" si="17"/>
        <v>- - DONE - -</v>
      </c>
      <c r="Q51" s="60" t="str">
        <f t="shared" si="17"/>
        <v>- - DONE - -</v>
      </c>
      <c r="R51" s="60" t="str">
        <f t="shared" si="17"/>
        <v>- - DONE - -</v>
      </c>
      <c r="S51" s="60" t="str">
        <f t="shared" si="17"/>
        <v>- - DONE - -</v>
      </c>
      <c r="T51" s="60" t="str">
        <f t="shared" si="17"/>
        <v>- - DONE - -</v>
      </c>
      <c r="U51" s="158" t="str">
        <f t="shared" si="17"/>
        <v>- - DONE - -</v>
      </c>
      <c r="V51" s="159">
        <f t="shared" si="15"/>
        <v>0</v>
      </c>
      <c r="W51" s="153">
        <f t="shared" si="16"/>
        <v>2.0463630789890885E-12</v>
      </c>
      <c r="X51" s="337"/>
      <c r="Y51" s="241"/>
      <c r="Z51" s="241"/>
      <c r="AA51" s="241"/>
      <c r="AB51" s="241"/>
      <c r="AC51" s="241"/>
    </row>
    <row r="52" spans="1:29" s="149" customFormat="1" ht="14.25">
      <c r="A52" s="152">
        <v>2769.89</v>
      </c>
      <c r="B52" s="168"/>
      <c r="C52" s="24">
        <f t="shared" si="11"/>
        <v>33.380000000000109</v>
      </c>
      <c r="D52" s="391">
        <v>-2.5579538487363607E-13</v>
      </c>
      <c r="E52" s="240">
        <v>67</v>
      </c>
      <c r="F52" s="238" t="e">
        <f t="shared" si="12"/>
        <v>#VALUE!</v>
      </c>
      <c r="G52" s="34">
        <f t="shared" si="13"/>
        <v>43311</v>
      </c>
      <c r="H52" s="35">
        <f t="shared" si="14"/>
        <v>32.97</v>
      </c>
      <c r="I52" s="157">
        <v>40756</v>
      </c>
      <c r="J52" s="60" t="str">
        <f t="shared" si="17"/>
        <v>- - DONE - -</v>
      </c>
      <c r="K52" s="60" t="str">
        <f t="shared" si="17"/>
        <v>- - DONE - -</v>
      </c>
      <c r="L52" s="60" t="str">
        <f t="shared" si="17"/>
        <v>- - DONE - -</v>
      </c>
      <c r="M52" s="60" t="str">
        <f t="shared" si="17"/>
        <v>- - DONE - -</v>
      </c>
      <c r="N52" s="60" t="str">
        <f t="shared" si="17"/>
        <v>- - DONE - -</v>
      </c>
      <c r="O52" s="60" t="str">
        <f t="shared" si="17"/>
        <v>- - DONE - -</v>
      </c>
      <c r="P52" s="60" t="str">
        <f t="shared" si="17"/>
        <v>- - DONE - -</v>
      </c>
      <c r="Q52" s="60" t="str">
        <f t="shared" si="17"/>
        <v>- - DONE - -</v>
      </c>
      <c r="R52" s="60" t="str">
        <f t="shared" si="17"/>
        <v>- - DONE - -</v>
      </c>
      <c r="S52" s="60" t="str">
        <f t="shared" si="17"/>
        <v>- - DONE - -</v>
      </c>
      <c r="T52" s="60" t="str">
        <f t="shared" si="17"/>
        <v>- - DONE - -</v>
      </c>
      <c r="U52" s="158" t="str">
        <f t="shared" si="17"/>
        <v>- - DONE - -</v>
      </c>
      <c r="V52" s="159">
        <f t="shared" si="15"/>
        <v>0</v>
      </c>
      <c r="W52" s="153">
        <f t="shared" si="16"/>
        <v>-2.5579538487363607E-13</v>
      </c>
      <c r="X52" s="337"/>
      <c r="Y52" s="241"/>
      <c r="Z52" s="241"/>
      <c r="AA52" s="241"/>
      <c r="AB52" s="241"/>
      <c r="AC52" s="241"/>
    </row>
    <row r="53" spans="1:29" s="149" customFormat="1" ht="14.25">
      <c r="A53" s="152">
        <v>4263.74</v>
      </c>
      <c r="B53" s="168"/>
      <c r="C53" s="24">
        <f t="shared" si="11"/>
        <v>50.659999999999854</v>
      </c>
      <c r="D53" s="391">
        <v>0</v>
      </c>
      <c r="E53" s="240">
        <v>68</v>
      </c>
      <c r="F53" s="238" t="e">
        <f t="shared" si="12"/>
        <v>#VALUE!</v>
      </c>
      <c r="G53" s="34">
        <f t="shared" si="13"/>
        <v>43342</v>
      </c>
      <c r="H53" s="35">
        <f t="shared" si="14"/>
        <v>50.76</v>
      </c>
      <c r="I53" s="157">
        <v>40787</v>
      </c>
      <c r="J53" s="60" t="str">
        <f t="shared" si="17"/>
        <v>- - DONE - -</v>
      </c>
      <c r="K53" s="60" t="str">
        <f t="shared" si="17"/>
        <v>- - DONE - -</v>
      </c>
      <c r="L53" s="60" t="str">
        <f t="shared" si="17"/>
        <v>- - DONE - -</v>
      </c>
      <c r="M53" s="60" t="str">
        <f t="shared" si="17"/>
        <v>- - DONE - -</v>
      </c>
      <c r="N53" s="60" t="str">
        <f t="shared" si="17"/>
        <v>- - DONE - -</v>
      </c>
      <c r="O53" s="60" t="str">
        <f t="shared" si="17"/>
        <v>- - DONE - -</v>
      </c>
      <c r="P53" s="60" t="str">
        <f t="shared" si="17"/>
        <v>- - DONE - -</v>
      </c>
      <c r="Q53" s="60" t="str">
        <f t="shared" si="17"/>
        <v>- - DONE - -</v>
      </c>
      <c r="R53" s="60" t="str">
        <f t="shared" si="17"/>
        <v>- - DONE - -</v>
      </c>
      <c r="S53" s="60" t="str">
        <f t="shared" si="17"/>
        <v>- - DONE - -</v>
      </c>
      <c r="T53" s="60" t="str">
        <f t="shared" si="17"/>
        <v>- - DONE - -</v>
      </c>
      <c r="U53" s="158" t="str">
        <f t="shared" si="17"/>
        <v>- - DONE - -</v>
      </c>
      <c r="V53" s="159">
        <f t="shared" si="15"/>
        <v>0</v>
      </c>
      <c r="W53" s="153">
        <f t="shared" si="16"/>
        <v>0</v>
      </c>
      <c r="X53" s="337"/>
      <c r="Y53" s="241"/>
      <c r="Z53" s="241"/>
      <c r="AA53" s="241"/>
      <c r="AB53" s="241"/>
      <c r="AC53" s="241"/>
    </row>
    <row r="54" spans="1:29" s="149" customFormat="1" ht="14.25">
      <c r="A54" s="152">
        <v>4455.1099999999997</v>
      </c>
      <c r="B54" s="168"/>
      <c r="C54" s="24">
        <f t="shared" si="11"/>
        <v>52.789999999999964</v>
      </c>
      <c r="D54" s="391">
        <v>0</v>
      </c>
      <c r="E54" s="240">
        <v>69</v>
      </c>
      <c r="F54" s="238" t="e">
        <f t="shared" si="12"/>
        <v>#VALUE!</v>
      </c>
      <c r="G54" s="34">
        <f t="shared" si="13"/>
        <v>43372</v>
      </c>
      <c r="H54" s="35">
        <f t="shared" si="14"/>
        <v>53.04</v>
      </c>
      <c r="I54" s="157">
        <v>40817</v>
      </c>
      <c r="J54" s="60" t="str">
        <f t="shared" si="17"/>
        <v>- - DONE - -</v>
      </c>
      <c r="K54" s="60" t="str">
        <f t="shared" si="17"/>
        <v>- - DONE - -</v>
      </c>
      <c r="L54" s="60" t="str">
        <f t="shared" si="17"/>
        <v>- - DONE - -</v>
      </c>
      <c r="M54" s="60" t="str">
        <f t="shared" si="17"/>
        <v>- - DONE - -</v>
      </c>
      <c r="N54" s="60" t="str">
        <f t="shared" si="17"/>
        <v>- - DONE - -</v>
      </c>
      <c r="O54" s="60" t="str">
        <f t="shared" si="17"/>
        <v>- - DONE - -</v>
      </c>
      <c r="P54" s="60" t="str">
        <f t="shared" si="17"/>
        <v>- - DONE - -</v>
      </c>
      <c r="Q54" s="60" t="str">
        <f t="shared" si="17"/>
        <v>- - DONE - -</v>
      </c>
      <c r="R54" s="60" t="str">
        <f t="shared" si="17"/>
        <v>- - DONE - -</v>
      </c>
      <c r="S54" s="60" t="str">
        <f t="shared" si="17"/>
        <v>- - DONE - -</v>
      </c>
      <c r="T54" s="60" t="str">
        <f t="shared" si="17"/>
        <v>- - DONE - -</v>
      </c>
      <c r="U54" s="158" t="str">
        <f t="shared" si="17"/>
        <v>- - DONE - -</v>
      </c>
      <c r="V54" s="159">
        <f t="shared" si="15"/>
        <v>0</v>
      </c>
      <c r="W54" s="153">
        <f t="shared" si="16"/>
        <v>0</v>
      </c>
      <c r="X54" s="337"/>
      <c r="Y54" s="241"/>
      <c r="Z54" s="241"/>
      <c r="AA54" s="241"/>
      <c r="AB54" s="241"/>
      <c r="AC54" s="241"/>
    </row>
    <row r="55" spans="1:29" s="149" customFormat="1" ht="14.25">
      <c r="A55" s="152">
        <v>4502.43</v>
      </c>
      <c r="B55" s="168"/>
      <c r="C55" s="24">
        <f t="shared" si="11"/>
        <v>53.630000000000109</v>
      </c>
      <c r="D55" s="391">
        <v>-9.0949470177292824E-13</v>
      </c>
      <c r="E55" s="240">
        <v>70</v>
      </c>
      <c r="F55" s="238" t="e">
        <f t="shared" si="12"/>
        <v>#VALUE!</v>
      </c>
      <c r="G55" s="34">
        <f t="shared" si="13"/>
        <v>43403</v>
      </c>
      <c r="H55" s="35">
        <f t="shared" si="14"/>
        <v>53.6</v>
      </c>
      <c r="I55" s="157">
        <v>40848</v>
      </c>
      <c r="J55" s="60" t="str">
        <f t="shared" si="17"/>
        <v>- - DONE - -</v>
      </c>
      <c r="K55" s="60" t="str">
        <f t="shared" si="17"/>
        <v>- - DONE - -</v>
      </c>
      <c r="L55" s="60" t="str">
        <f t="shared" si="17"/>
        <v>- - DONE - -</v>
      </c>
      <c r="M55" s="60" t="str">
        <f t="shared" si="17"/>
        <v>- - DONE - -</v>
      </c>
      <c r="N55" s="60" t="str">
        <f t="shared" si="17"/>
        <v>- - DONE - -</v>
      </c>
      <c r="O55" s="60" t="str">
        <f t="shared" si="17"/>
        <v>- - DONE - -</v>
      </c>
      <c r="P55" s="60" t="str">
        <f t="shared" si="17"/>
        <v>- - DONE - -</v>
      </c>
      <c r="Q55" s="60" t="str">
        <f t="shared" si="17"/>
        <v>- - DONE - -</v>
      </c>
      <c r="R55" s="60" t="str">
        <f t="shared" si="17"/>
        <v>- - DONE - -</v>
      </c>
      <c r="S55" s="60" t="str">
        <f t="shared" si="17"/>
        <v>- - DONE - -</v>
      </c>
      <c r="T55" s="60" t="str">
        <f t="shared" si="17"/>
        <v>- - DONE - -</v>
      </c>
      <c r="U55" s="158" t="str">
        <f t="shared" si="17"/>
        <v>- - DONE - -</v>
      </c>
      <c r="V55" s="159">
        <f t="shared" si="15"/>
        <v>0</v>
      </c>
      <c r="W55" s="153">
        <f t="shared" si="16"/>
        <v>-9.0949470177292824E-13</v>
      </c>
      <c r="X55" s="337"/>
      <c r="Y55" s="241"/>
      <c r="Z55" s="241"/>
      <c r="AA55" s="241"/>
      <c r="AB55" s="241"/>
      <c r="AC55" s="241"/>
    </row>
    <row r="56" spans="1:29" s="149" customFormat="1" ht="14.25">
      <c r="A56" s="152">
        <v>1706.19</v>
      </c>
      <c r="B56" s="169"/>
      <c r="C56" s="24">
        <f t="shared" si="11"/>
        <v>20.460000000000264</v>
      </c>
      <c r="D56" s="393">
        <v>0</v>
      </c>
      <c r="E56" s="240">
        <v>71</v>
      </c>
      <c r="F56" s="240" t="e">
        <f t="shared" si="12"/>
        <v>#VALUE!</v>
      </c>
      <c r="G56" s="34">
        <f t="shared" si="13"/>
        <v>43433</v>
      </c>
      <c r="H56" s="35">
        <f t="shared" si="14"/>
        <v>20.309999999999999</v>
      </c>
      <c r="I56" s="157">
        <v>40878</v>
      </c>
      <c r="J56" s="60" t="str">
        <f t="shared" si="17"/>
        <v>- - DONE - -</v>
      </c>
      <c r="K56" s="60" t="str">
        <f t="shared" si="17"/>
        <v>- - DONE - -</v>
      </c>
      <c r="L56" s="60" t="str">
        <f t="shared" si="17"/>
        <v>- - DONE - -</v>
      </c>
      <c r="M56" s="60" t="str">
        <f t="shared" si="17"/>
        <v>- - DONE - -</v>
      </c>
      <c r="N56" s="60" t="str">
        <f t="shared" si="17"/>
        <v>- - DONE - -</v>
      </c>
      <c r="O56" s="60" t="str">
        <f t="shared" si="17"/>
        <v>- - DONE - -</v>
      </c>
      <c r="P56" s="60" t="str">
        <f t="shared" si="17"/>
        <v>- - DONE - -</v>
      </c>
      <c r="Q56" s="60" t="str">
        <f t="shared" si="17"/>
        <v>- - DONE - -</v>
      </c>
      <c r="R56" s="60" t="str">
        <f t="shared" si="17"/>
        <v>- - DONE - -</v>
      </c>
      <c r="S56" s="60" t="str">
        <f t="shared" si="17"/>
        <v>- - DONE - -</v>
      </c>
      <c r="T56" s="60" t="str">
        <f t="shared" si="17"/>
        <v>- - DONE - -</v>
      </c>
      <c r="U56" s="158" t="str">
        <f t="shared" si="17"/>
        <v>- - DONE - -</v>
      </c>
      <c r="V56" s="159">
        <f t="shared" si="15"/>
        <v>0</v>
      </c>
      <c r="W56" s="153">
        <f t="shared" si="16"/>
        <v>0</v>
      </c>
      <c r="X56" s="337"/>
      <c r="Y56" s="241"/>
      <c r="Z56" s="241"/>
      <c r="AA56" s="241"/>
      <c r="AB56" s="241"/>
      <c r="AC56" s="241"/>
    </row>
    <row r="57" spans="1:29" s="149" customFormat="1" ht="14.25">
      <c r="A57" s="161">
        <v>6347.15</v>
      </c>
      <c r="B57" s="168"/>
      <c r="C57" s="160">
        <f t="shared" si="11"/>
        <v>75.669999999999163</v>
      </c>
      <c r="D57" s="390">
        <v>9.0949470177292824E-13</v>
      </c>
      <c r="E57" s="242">
        <v>72</v>
      </c>
      <c r="F57" s="243" t="e">
        <f t="shared" si="12"/>
        <v>#VALUE!</v>
      </c>
      <c r="G57" s="162">
        <f t="shared" si="13"/>
        <v>43464</v>
      </c>
      <c r="H57" s="163">
        <f t="shared" si="14"/>
        <v>75.56</v>
      </c>
      <c r="I57" s="164">
        <v>40909</v>
      </c>
      <c r="J57" s="165" t="str">
        <f t="shared" si="17"/>
        <v>- - DONE - -</v>
      </c>
      <c r="K57" s="165" t="str">
        <f t="shared" si="17"/>
        <v>- - DONE - -</v>
      </c>
      <c r="L57" s="165" t="str">
        <f t="shared" si="17"/>
        <v>- - DONE - -</v>
      </c>
      <c r="M57" s="165" t="str">
        <f t="shared" si="17"/>
        <v>- - DONE - -</v>
      </c>
      <c r="N57" s="165" t="str">
        <f t="shared" si="17"/>
        <v>- - DONE - -</v>
      </c>
      <c r="O57" s="165" t="str">
        <f t="shared" si="17"/>
        <v>- - DONE - -</v>
      </c>
      <c r="P57" s="165" t="str">
        <f t="shared" si="17"/>
        <v>- - DONE - -</v>
      </c>
      <c r="Q57" s="165" t="str">
        <f t="shared" si="17"/>
        <v>- - DONE - -</v>
      </c>
      <c r="R57" s="165" t="str">
        <f t="shared" si="17"/>
        <v>- - DONE - -</v>
      </c>
      <c r="S57" s="165" t="str">
        <f t="shared" si="17"/>
        <v>- - DONE - -</v>
      </c>
      <c r="T57" s="165" t="str">
        <f t="shared" si="17"/>
        <v>- - DONE - -</v>
      </c>
      <c r="U57" s="167" t="str">
        <f t="shared" si="17"/>
        <v>- - DONE - -</v>
      </c>
      <c r="V57" s="166">
        <f t="shared" si="15"/>
        <v>0</v>
      </c>
      <c r="W57" s="244">
        <f t="shared" si="16"/>
        <v>9.0949470177292824E-13</v>
      </c>
      <c r="X57" s="337"/>
      <c r="Y57" s="241"/>
      <c r="Z57" s="241"/>
      <c r="AA57" s="241"/>
      <c r="AB57" s="241"/>
      <c r="AC57" s="241"/>
    </row>
    <row r="58" spans="1:29" s="149" customFormat="1" ht="14.25">
      <c r="A58" s="152">
        <v>2095.64</v>
      </c>
      <c r="B58" s="168"/>
      <c r="C58" s="24">
        <f t="shared" si="11"/>
        <v>24.789999999999964</v>
      </c>
      <c r="D58" s="391">
        <v>3.872457909892546E-13</v>
      </c>
      <c r="E58" s="240">
        <v>73</v>
      </c>
      <c r="F58" s="238" t="e">
        <f t="shared" si="12"/>
        <v>#VALUE!</v>
      </c>
      <c r="G58" s="34">
        <f t="shared" si="13"/>
        <v>43495</v>
      </c>
      <c r="H58" s="35">
        <f t="shared" si="14"/>
        <v>24.95</v>
      </c>
      <c r="I58" s="157">
        <v>40940</v>
      </c>
      <c r="J58" s="60" t="str">
        <f t="shared" si="17"/>
        <v>- - DONE - -</v>
      </c>
      <c r="K58" s="60" t="str">
        <f t="shared" si="17"/>
        <v>- - DONE - -</v>
      </c>
      <c r="L58" s="60" t="str">
        <f t="shared" si="17"/>
        <v>- - DONE - -</v>
      </c>
      <c r="M58" s="60" t="str">
        <f t="shared" si="17"/>
        <v>- - DONE - -</v>
      </c>
      <c r="N58" s="60" t="str">
        <f t="shared" si="17"/>
        <v>- - DONE - -</v>
      </c>
      <c r="O58" s="60" t="str">
        <f t="shared" si="17"/>
        <v>- - DONE - -</v>
      </c>
      <c r="P58" s="60" t="str">
        <f t="shared" si="17"/>
        <v>- - DONE - -</v>
      </c>
      <c r="Q58" s="60" t="str">
        <f t="shared" si="17"/>
        <v>- - DONE - -</v>
      </c>
      <c r="R58" s="60" t="str">
        <f t="shared" si="17"/>
        <v>- - DONE - -</v>
      </c>
      <c r="S58" s="60" t="str">
        <f t="shared" si="17"/>
        <v>- - DONE - -</v>
      </c>
      <c r="T58" s="60" t="str">
        <f t="shared" si="17"/>
        <v>- - DONE - -</v>
      </c>
      <c r="U58" s="158" t="str">
        <f t="shared" si="17"/>
        <v>- - DONE - -</v>
      </c>
      <c r="V58" s="159">
        <f t="shared" si="15"/>
        <v>0</v>
      </c>
      <c r="W58" s="153">
        <f t="shared" si="16"/>
        <v>3.872457909892546E-13</v>
      </c>
      <c r="X58" s="337"/>
      <c r="Y58" s="241"/>
      <c r="Z58" s="241"/>
      <c r="AA58" s="241"/>
      <c r="AB58" s="241"/>
      <c r="AC58" s="241"/>
    </row>
    <row r="59" spans="1:29" s="149" customFormat="1" ht="14.25">
      <c r="A59" s="152">
        <v>4384.87</v>
      </c>
      <c r="B59" s="168"/>
      <c r="C59" s="24">
        <f t="shared" si="11"/>
        <v>52.269999999999527</v>
      </c>
      <c r="D59" s="393">
        <v>-3.694822225952521E-13</v>
      </c>
      <c r="E59" s="240">
        <v>74</v>
      </c>
      <c r="F59" s="238" t="e">
        <f t="shared" si="12"/>
        <v>#VALUE!</v>
      </c>
      <c r="G59" s="34">
        <f t="shared" si="13"/>
        <v>43524</v>
      </c>
      <c r="H59" s="35">
        <f t="shared" si="14"/>
        <v>52.2</v>
      </c>
      <c r="I59" s="157">
        <v>40969</v>
      </c>
      <c r="J59" s="60" t="str">
        <f t="shared" ref="J59:U68" si="18">IF(J$7&lt;$I59,"",IF(J$7=$I59,+$C59,IF(J$7&lt;=$G59,+(ROUND(($A59-$C59)/83,2)),"- - DONE - -")))</f>
        <v>- - DONE - -</v>
      </c>
      <c r="K59" s="60" t="str">
        <f t="shared" si="18"/>
        <v>- - DONE - -</v>
      </c>
      <c r="L59" s="60" t="str">
        <f t="shared" si="18"/>
        <v>- - DONE - -</v>
      </c>
      <c r="M59" s="60" t="str">
        <f t="shared" si="18"/>
        <v>- - DONE - -</v>
      </c>
      <c r="N59" s="60" t="str">
        <f t="shared" si="18"/>
        <v>- - DONE - -</v>
      </c>
      <c r="O59" s="60" t="str">
        <f t="shared" si="18"/>
        <v>- - DONE - -</v>
      </c>
      <c r="P59" s="60" t="str">
        <f t="shared" si="18"/>
        <v>- - DONE - -</v>
      </c>
      <c r="Q59" s="60" t="str">
        <f t="shared" si="18"/>
        <v>- - DONE - -</v>
      </c>
      <c r="R59" s="60" t="str">
        <f t="shared" si="18"/>
        <v>- - DONE - -</v>
      </c>
      <c r="S59" s="60" t="str">
        <f t="shared" si="18"/>
        <v>- - DONE - -</v>
      </c>
      <c r="T59" s="60" t="str">
        <f t="shared" si="18"/>
        <v>- - DONE - -</v>
      </c>
      <c r="U59" s="158" t="str">
        <f t="shared" si="18"/>
        <v>- - DONE - -</v>
      </c>
      <c r="V59" s="159">
        <f t="shared" si="15"/>
        <v>0</v>
      </c>
      <c r="W59" s="153">
        <f t="shared" si="16"/>
        <v>-3.694822225952521E-13</v>
      </c>
      <c r="X59" s="333"/>
    </row>
    <row r="60" spans="1:29" s="149" customFormat="1" ht="14.25">
      <c r="A60" s="152">
        <v>4787.76</v>
      </c>
      <c r="B60" s="168"/>
      <c r="C60" s="24">
        <f t="shared" si="11"/>
        <v>56.760000000000218</v>
      </c>
      <c r="D60" s="393">
        <v>0</v>
      </c>
      <c r="E60" s="240">
        <v>75</v>
      </c>
      <c r="F60" s="238" t="e">
        <f t="shared" si="12"/>
        <v>#VALUE!</v>
      </c>
      <c r="G60" s="34">
        <f t="shared" si="13"/>
        <v>43555</v>
      </c>
      <c r="H60" s="35">
        <f t="shared" si="14"/>
        <v>57</v>
      </c>
      <c r="I60" s="157">
        <v>41000</v>
      </c>
      <c r="J60" s="60" t="str">
        <f t="shared" si="18"/>
        <v>- - DONE - -</v>
      </c>
      <c r="K60" s="60" t="str">
        <f t="shared" si="18"/>
        <v>- - DONE - -</v>
      </c>
      <c r="L60" s="60" t="str">
        <f t="shared" si="18"/>
        <v>- - DONE - -</v>
      </c>
      <c r="M60" s="60" t="str">
        <f t="shared" si="18"/>
        <v>- - DONE - -</v>
      </c>
      <c r="N60" s="60" t="str">
        <f t="shared" si="18"/>
        <v>- - DONE - -</v>
      </c>
      <c r="O60" s="60" t="str">
        <f t="shared" si="18"/>
        <v>- - DONE - -</v>
      </c>
      <c r="P60" s="60" t="str">
        <f t="shared" si="18"/>
        <v>- - DONE - -</v>
      </c>
      <c r="Q60" s="60" t="str">
        <f t="shared" si="18"/>
        <v>- - DONE - -</v>
      </c>
      <c r="R60" s="60" t="str">
        <f t="shared" si="18"/>
        <v>- - DONE - -</v>
      </c>
      <c r="S60" s="60" t="str">
        <f t="shared" si="18"/>
        <v>- - DONE - -</v>
      </c>
      <c r="T60" s="60" t="str">
        <f t="shared" si="18"/>
        <v>- - DONE - -</v>
      </c>
      <c r="U60" s="158" t="str">
        <f t="shared" si="18"/>
        <v>- - DONE - -</v>
      </c>
      <c r="V60" s="159">
        <f t="shared" si="15"/>
        <v>0</v>
      </c>
      <c r="W60" s="153">
        <f t="shared" si="16"/>
        <v>0</v>
      </c>
      <c r="X60" s="333"/>
    </row>
    <row r="61" spans="1:29" s="149" customFormat="1" ht="14.25">
      <c r="A61" s="152">
        <v>495.07</v>
      </c>
      <c r="B61" s="168"/>
      <c r="C61" s="24">
        <f t="shared" si="11"/>
        <v>6.2000000000000455</v>
      </c>
      <c r="D61" s="393">
        <v>0</v>
      </c>
      <c r="E61" s="240">
        <v>76</v>
      </c>
      <c r="F61" s="238" t="e">
        <f t="shared" si="12"/>
        <v>#VALUE!</v>
      </c>
      <c r="G61" s="34">
        <f t="shared" si="13"/>
        <v>43585</v>
      </c>
      <c r="H61" s="35">
        <f t="shared" si="14"/>
        <v>5.89</v>
      </c>
      <c r="I61" s="157">
        <v>41030</v>
      </c>
      <c r="J61" s="60" t="str">
        <f t="shared" si="18"/>
        <v>- - DONE - -</v>
      </c>
      <c r="K61" s="60" t="str">
        <f t="shared" si="18"/>
        <v>- - DONE - -</v>
      </c>
      <c r="L61" s="60" t="str">
        <f t="shared" si="18"/>
        <v>- - DONE - -</v>
      </c>
      <c r="M61" s="60" t="str">
        <f t="shared" si="18"/>
        <v>- - DONE - -</v>
      </c>
      <c r="N61" s="60" t="str">
        <f t="shared" si="18"/>
        <v>- - DONE - -</v>
      </c>
      <c r="O61" s="60" t="str">
        <f t="shared" si="18"/>
        <v>- - DONE - -</v>
      </c>
      <c r="P61" s="60" t="str">
        <f t="shared" si="18"/>
        <v>- - DONE - -</v>
      </c>
      <c r="Q61" s="60" t="str">
        <f t="shared" si="18"/>
        <v>- - DONE - -</v>
      </c>
      <c r="R61" s="60" t="str">
        <f t="shared" si="18"/>
        <v>- - DONE - -</v>
      </c>
      <c r="S61" s="60" t="str">
        <f t="shared" si="18"/>
        <v>- - DONE - -</v>
      </c>
      <c r="T61" s="60" t="str">
        <f t="shared" si="18"/>
        <v>- - DONE - -</v>
      </c>
      <c r="U61" s="158" t="str">
        <f t="shared" si="18"/>
        <v>- - DONE - -</v>
      </c>
      <c r="V61" s="159">
        <f t="shared" si="15"/>
        <v>0</v>
      </c>
      <c r="W61" s="153">
        <f t="shared" si="16"/>
        <v>0</v>
      </c>
      <c r="X61" s="333"/>
    </row>
    <row r="62" spans="1:29" s="149" customFormat="1" ht="14.25">
      <c r="A62" s="152">
        <v>2932.64</v>
      </c>
      <c r="B62" s="168"/>
      <c r="C62" s="24">
        <f t="shared" si="11"/>
        <v>35.110000000000127</v>
      </c>
      <c r="D62" s="393">
        <v>6.5369931689929217E-13</v>
      </c>
      <c r="E62" s="240">
        <v>77</v>
      </c>
      <c r="F62" s="238" t="e">
        <f t="shared" si="12"/>
        <v>#VALUE!</v>
      </c>
      <c r="G62" s="34">
        <f t="shared" si="13"/>
        <v>43616</v>
      </c>
      <c r="H62" s="35">
        <f t="shared" si="14"/>
        <v>34.909999999999997</v>
      </c>
      <c r="I62" s="157">
        <v>41061</v>
      </c>
      <c r="J62" s="60" t="str">
        <f t="shared" si="18"/>
        <v>- - DONE - -</v>
      </c>
      <c r="K62" s="60" t="str">
        <f t="shared" si="18"/>
        <v>- - DONE - -</v>
      </c>
      <c r="L62" s="60" t="str">
        <f t="shared" si="18"/>
        <v>- - DONE - -</v>
      </c>
      <c r="M62" s="60" t="str">
        <f t="shared" si="18"/>
        <v>- - DONE - -</v>
      </c>
      <c r="N62" s="60" t="str">
        <f t="shared" si="18"/>
        <v>- - DONE - -</v>
      </c>
      <c r="O62" s="60" t="str">
        <f t="shared" si="18"/>
        <v>- - DONE - -</v>
      </c>
      <c r="P62" s="60" t="str">
        <f t="shared" si="18"/>
        <v>- - DONE - -</v>
      </c>
      <c r="Q62" s="60" t="str">
        <f t="shared" si="18"/>
        <v>- - DONE - -</v>
      </c>
      <c r="R62" s="60" t="str">
        <f t="shared" si="18"/>
        <v>- - DONE - -</v>
      </c>
      <c r="S62" s="60" t="str">
        <f t="shared" si="18"/>
        <v>- - DONE - -</v>
      </c>
      <c r="T62" s="60" t="str">
        <f t="shared" si="18"/>
        <v>- - DONE - -</v>
      </c>
      <c r="U62" s="158" t="str">
        <f t="shared" si="18"/>
        <v>- - DONE - -</v>
      </c>
      <c r="V62" s="159">
        <f t="shared" si="15"/>
        <v>0</v>
      </c>
      <c r="W62" s="153">
        <f t="shared" si="16"/>
        <v>6.5369931689929217E-13</v>
      </c>
      <c r="X62" s="333"/>
    </row>
    <row r="63" spans="1:29" s="149" customFormat="1" ht="14.25">
      <c r="A63" s="152">
        <v>4825.45</v>
      </c>
      <c r="B63" s="168"/>
      <c r="C63" s="24">
        <f t="shared" si="11"/>
        <v>57.099999999999454</v>
      </c>
      <c r="D63" s="393">
        <v>0</v>
      </c>
      <c r="E63" s="240">
        <v>78</v>
      </c>
      <c r="F63" s="238" t="e">
        <f t="shared" si="12"/>
        <v>#VALUE!</v>
      </c>
      <c r="G63" s="34">
        <f t="shared" si="13"/>
        <v>43646</v>
      </c>
      <c r="H63" s="35">
        <f t="shared" si="14"/>
        <v>57.45</v>
      </c>
      <c r="I63" s="157">
        <v>41091</v>
      </c>
      <c r="J63" s="60" t="str">
        <f t="shared" si="18"/>
        <v>- - DONE - -</v>
      </c>
      <c r="K63" s="60" t="str">
        <f t="shared" si="18"/>
        <v>- - DONE - -</v>
      </c>
      <c r="L63" s="60" t="str">
        <f t="shared" si="18"/>
        <v>- - DONE - -</v>
      </c>
      <c r="M63" s="60" t="str">
        <f t="shared" si="18"/>
        <v>- - DONE - -</v>
      </c>
      <c r="N63" s="60" t="str">
        <f t="shared" si="18"/>
        <v>- - DONE - -</v>
      </c>
      <c r="O63" s="60" t="str">
        <f t="shared" si="18"/>
        <v>- - DONE - -</v>
      </c>
      <c r="P63" s="60" t="str">
        <f t="shared" si="18"/>
        <v>- - DONE - -</v>
      </c>
      <c r="Q63" s="60" t="str">
        <f t="shared" si="18"/>
        <v>- - DONE - -</v>
      </c>
      <c r="R63" s="60" t="str">
        <f t="shared" si="18"/>
        <v>- - DONE - -</v>
      </c>
      <c r="S63" s="60" t="str">
        <f t="shared" si="18"/>
        <v>- - DONE - -</v>
      </c>
      <c r="T63" s="60" t="str">
        <f t="shared" si="18"/>
        <v>- - DONE - -</v>
      </c>
      <c r="U63" s="158" t="str">
        <f t="shared" si="18"/>
        <v>- - DONE - -</v>
      </c>
      <c r="V63" s="159">
        <f t="shared" si="15"/>
        <v>0</v>
      </c>
      <c r="W63" s="153">
        <f t="shared" si="16"/>
        <v>0</v>
      </c>
      <c r="X63" s="333"/>
    </row>
    <row r="64" spans="1:29" s="149" customFormat="1" ht="14.25">
      <c r="A64" s="152">
        <v>2970.58</v>
      </c>
      <c r="B64" s="168"/>
      <c r="C64" s="24">
        <f t="shared" si="11"/>
        <v>35.699999999999818</v>
      </c>
      <c r="D64" s="393">
        <v>0.55999999999926331</v>
      </c>
      <c r="E64" s="240">
        <v>79</v>
      </c>
      <c r="F64" s="238" t="e">
        <f t="shared" si="12"/>
        <v>#VALUE!</v>
      </c>
      <c r="G64" s="34">
        <f t="shared" si="13"/>
        <v>43677</v>
      </c>
      <c r="H64" s="35">
        <f t="shared" si="14"/>
        <v>35.36</v>
      </c>
      <c r="I64" s="157">
        <v>41122</v>
      </c>
      <c r="J64" s="60" t="str">
        <f t="shared" si="18"/>
        <v>- - DONE - -</v>
      </c>
      <c r="K64" s="60" t="str">
        <f t="shared" si="18"/>
        <v>- - DONE - -</v>
      </c>
      <c r="L64" s="60" t="str">
        <f t="shared" si="18"/>
        <v>- - DONE - -</v>
      </c>
      <c r="M64" s="60" t="str">
        <f t="shared" si="18"/>
        <v>- - DONE - -</v>
      </c>
      <c r="N64" s="60" t="str">
        <f t="shared" si="18"/>
        <v>- - DONE - -</v>
      </c>
      <c r="O64" s="60" t="str">
        <f t="shared" si="18"/>
        <v>- - DONE - -</v>
      </c>
      <c r="P64" s="60" t="str">
        <f t="shared" si="18"/>
        <v>- - DONE - -</v>
      </c>
      <c r="Q64" s="60" t="str">
        <f t="shared" si="18"/>
        <v>- - DONE - -</v>
      </c>
      <c r="R64" s="60" t="str">
        <f t="shared" si="18"/>
        <v>- - DONE - -</v>
      </c>
      <c r="S64" s="60" t="str">
        <f t="shared" si="18"/>
        <v>- - DONE - -</v>
      </c>
      <c r="T64" s="60" t="str">
        <f t="shared" si="18"/>
        <v>- - DONE - -</v>
      </c>
      <c r="U64" s="158" t="str">
        <f t="shared" si="18"/>
        <v>- - DONE - -</v>
      </c>
      <c r="V64" s="159">
        <f t="shared" si="15"/>
        <v>0</v>
      </c>
      <c r="W64" s="153">
        <f t="shared" si="16"/>
        <v>0.55999999999926331</v>
      </c>
      <c r="X64" s="333"/>
    </row>
    <row r="65" spans="1:29" s="149" customFormat="1" ht="14.25">
      <c r="A65" s="152">
        <v>4808.51</v>
      </c>
      <c r="B65" s="168"/>
      <c r="C65" s="24">
        <f t="shared" si="11"/>
        <v>57.590000000000146</v>
      </c>
      <c r="D65" s="393">
        <v>0</v>
      </c>
      <c r="E65" s="240">
        <v>80</v>
      </c>
      <c r="F65" s="238" t="e">
        <f t="shared" si="12"/>
        <v>#VALUE!</v>
      </c>
      <c r="G65" s="34">
        <f t="shared" si="13"/>
        <v>43708</v>
      </c>
      <c r="H65" s="35">
        <f t="shared" si="14"/>
        <v>57.24</v>
      </c>
      <c r="I65" s="157">
        <v>41153</v>
      </c>
      <c r="J65" s="60" t="str">
        <f t="shared" si="18"/>
        <v>- - DONE - -</v>
      </c>
      <c r="K65" s="60" t="str">
        <f t="shared" si="18"/>
        <v>- - DONE - -</v>
      </c>
      <c r="L65" s="60" t="str">
        <f t="shared" si="18"/>
        <v>- - DONE - -</v>
      </c>
      <c r="M65" s="60" t="str">
        <f t="shared" si="18"/>
        <v>- - DONE - -</v>
      </c>
      <c r="N65" s="60" t="str">
        <f t="shared" si="18"/>
        <v>- - DONE - -</v>
      </c>
      <c r="O65" s="60" t="str">
        <f t="shared" si="18"/>
        <v>- - DONE - -</v>
      </c>
      <c r="P65" s="60" t="str">
        <f t="shared" si="18"/>
        <v>- - DONE - -</v>
      </c>
      <c r="Q65" s="60" t="str">
        <f t="shared" si="18"/>
        <v>- - DONE - -</v>
      </c>
      <c r="R65" s="60" t="str">
        <f t="shared" si="18"/>
        <v>- - DONE - -</v>
      </c>
      <c r="S65" s="60" t="str">
        <f t="shared" si="18"/>
        <v>- - DONE - -</v>
      </c>
      <c r="T65" s="60" t="str">
        <f t="shared" si="18"/>
        <v>- - DONE - -</v>
      </c>
      <c r="U65" s="158" t="str">
        <f t="shared" si="18"/>
        <v>- - DONE - -</v>
      </c>
      <c r="V65" s="159">
        <f t="shared" si="15"/>
        <v>0</v>
      </c>
      <c r="W65" s="153">
        <f t="shared" si="16"/>
        <v>0</v>
      </c>
      <c r="X65" s="333"/>
    </row>
    <row r="66" spans="1:29" s="149" customFormat="1" ht="14.25">
      <c r="A66" s="152">
        <v>6758.19</v>
      </c>
      <c r="B66" s="168"/>
      <c r="C66" s="24">
        <f t="shared" si="11"/>
        <v>80.839999999999236</v>
      </c>
      <c r="D66" s="393">
        <v>0.80999999999949068</v>
      </c>
      <c r="E66" s="240">
        <v>81</v>
      </c>
      <c r="F66" s="238" t="e">
        <f t="shared" si="12"/>
        <v>#VALUE!</v>
      </c>
      <c r="G66" s="34">
        <f t="shared" si="13"/>
        <v>43738</v>
      </c>
      <c r="H66" s="35">
        <f t="shared" si="14"/>
        <v>80.45</v>
      </c>
      <c r="I66" s="157">
        <v>41183</v>
      </c>
      <c r="J66" s="60" t="str">
        <f t="shared" si="18"/>
        <v>- - DONE - -</v>
      </c>
      <c r="K66" s="60" t="str">
        <f t="shared" si="18"/>
        <v>- - DONE - -</v>
      </c>
      <c r="L66" s="60" t="str">
        <f t="shared" si="18"/>
        <v>- - DONE - -</v>
      </c>
      <c r="M66" s="60" t="str">
        <f t="shared" si="18"/>
        <v>- - DONE - -</v>
      </c>
      <c r="N66" s="60" t="str">
        <f t="shared" si="18"/>
        <v>- - DONE - -</v>
      </c>
      <c r="O66" s="60" t="str">
        <f t="shared" si="18"/>
        <v>- - DONE - -</v>
      </c>
      <c r="P66" s="60" t="str">
        <f t="shared" si="18"/>
        <v>- - DONE - -</v>
      </c>
      <c r="Q66" s="60" t="str">
        <f t="shared" si="18"/>
        <v>- - DONE - -</v>
      </c>
      <c r="R66" s="60" t="str">
        <f t="shared" si="18"/>
        <v>- - DONE - -</v>
      </c>
      <c r="S66" s="60" t="str">
        <f t="shared" si="18"/>
        <v>- - DONE - -</v>
      </c>
      <c r="T66" s="60" t="str">
        <f t="shared" si="18"/>
        <v>- - DONE - -</v>
      </c>
      <c r="U66" s="158" t="str">
        <f t="shared" si="18"/>
        <v>- - DONE - -</v>
      </c>
      <c r="V66" s="159">
        <f t="shared" si="15"/>
        <v>0</v>
      </c>
      <c r="W66" s="153">
        <f t="shared" si="16"/>
        <v>0.80999999999949068</v>
      </c>
      <c r="X66" s="333"/>
    </row>
    <row r="67" spans="1:29" s="149" customFormat="1" ht="14.25">
      <c r="A67" s="152">
        <v>8223.73</v>
      </c>
      <c r="B67" s="168"/>
      <c r="C67" s="24">
        <f t="shared" si="11"/>
        <v>98.029999999998836</v>
      </c>
      <c r="D67" s="393">
        <v>0</v>
      </c>
      <c r="E67" s="240">
        <v>82</v>
      </c>
      <c r="F67" s="238" t="e">
        <f t="shared" si="12"/>
        <v>#VALUE!</v>
      </c>
      <c r="G67" s="34">
        <f t="shared" si="13"/>
        <v>43769</v>
      </c>
      <c r="H67" s="35">
        <f t="shared" si="14"/>
        <v>97.9</v>
      </c>
      <c r="I67" s="157">
        <v>41214</v>
      </c>
      <c r="J67" s="60" t="str">
        <f t="shared" si="18"/>
        <v>- - DONE - -</v>
      </c>
      <c r="K67" s="60" t="str">
        <f t="shared" si="18"/>
        <v>- - DONE - -</v>
      </c>
      <c r="L67" s="60" t="str">
        <f t="shared" si="18"/>
        <v>- - DONE - -</v>
      </c>
      <c r="M67" s="60" t="str">
        <f t="shared" si="18"/>
        <v>- - DONE - -</v>
      </c>
      <c r="N67" s="60" t="str">
        <f t="shared" si="18"/>
        <v>- - DONE - -</v>
      </c>
      <c r="O67" s="60" t="str">
        <f t="shared" si="18"/>
        <v>- - DONE - -</v>
      </c>
      <c r="P67" s="60" t="str">
        <f t="shared" si="18"/>
        <v>- - DONE - -</v>
      </c>
      <c r="Q67" s="60" t="str">
        <f t="shared" si="18"/>
        <v>- - DONE - -</v>
      </c>
      <c r="R67" s="60" t="str">
        <f t="shared" si="18"/>
        <v>- - DONE - -</v>
      </c>
      <c r="S67" s="60" t="str">
        <f t="shared" si="18"/>
        <v>- - DONE - -</v>
      </c>
      <c r="T67" s="60" t="str">
        <f t="shared" si="18"/>
        <v>- - DONE - -</v>
      </c>
      <c r="U67" s="158" t="str">
        <f t="shared" si="18"/>
        <v>- - DONE - -</v>
      </c>
      <c r="V67" s="159">
        <f t="shared" si="15"/>
        <v>0</v>
      </c>
      <c r="W67" s="153">
        <f t="shared" si="16"/>
        <v>0</v>
      </c>
      <c r="X67" s="333"/>
    </row>
    <row r="68" spans="1:29" s="149" customFormat="1" ht="14.25">
      <c r="A68" s="152">
        <v>6151.25</v>
      </c>
      <c r="B68" s="169"/>
      <c r="C68" s="24">
        <f t="shared" si="11"/>
        <v>73.159999999999854</v>
      </c>
      <c r="D68" s="393">
        <v>-1.1368683772161603E-12</v>
      </c>
      <c r="E68" s="240">
        <v>83</v>
      </c>
      <c r="F68" s="240" t="e">
        <f t="shared" si="12"/>
        <v>#VALUE!</v>
      </c>
      <c r="G68" s="34">
        <f t="shared" si="13"/>
        <v>43799</v>
      </c>
      <c r="H68" s="35">
        <f t="shared" si="14"/>
        <v>73.23</v>
      </c>
      <c r="I68" s="157">
        <v>41244</v>
      </c>
      <c r="J68" s="60" t="str">
        <f t="shared" si="18"/>
        <v>- - DONE - -</v>
      </c>
      <c r="K68" s="60" t="str">
        <f t="shared" si="18"/>
        <v>- - DONE - -</v>
      </c>
      <c r="L68" s="60" t="str">
        <f t="shared" si="18"/>
        <v>- - DONE - -</v>
      </c>
      <c r="M68" s="60" t="str">
        <f t="shared" si="18"/>
        <v>- - DONE - -</v>
      </c>
      <c r="N68" s="60" t="str">
        <f t="shared" si="18"/>
        <v>- - DONE - -</v>
      </c>
      <c r="O68" s="60" t="str">
        <f t="shared" si="18"/>
        <v>- - DONE - -</v>
      </c>
      <c r="P68" s="60" t="str">
        <f t="shared" si="18"/>
        <v>- - DONE - -</v>
      </c>
      <c r="Q68" s="60" t="str">
        <f t="shared" si="18"/>
        <v>- - DONE - -</v>
      </c>
      <c r="R68" s="60" t="str">
        <f t="shared" si="18"/>
        <v>- - DONE - -</v>
      </c>
      <c r="S68" s="60" t="str">
        <f t="shared" si="18"/>
        <v>- - DONE - -</v>
      </c>
      <c r="T68" s="60" t="str">
        <f t="shared" si="18"/>
        <v>- - DONE - -</v>
      </c>
      <c r="U68" s="158" t="str">
        <f t="shared" si="18"/>
        <v>- - DONE - -</v>
      </c>
      <c r="V68" s="159">
        <f t="shared" si="15"/>
        <v>0</v>
      </c>
      <c r="W68" s="153">
        <f t="shared" si="16"/>
        <v>-1.1368683772161603E-12</v>
      </c>
      <c r="X68" s="337"/>
      <c r="Y68" s="241"/>
      <c r="Z68" s="241"/>
      <c r="AA68" s="241"/>
      <c r="AB68" s="241"/>
      <c r="AC68" s="241"/>
    </row>
    <row r="69" spans="1:29" s="149" customFormat="1" ht="14.25">
      <c r="A69" s="161">
        <v>10062.94</v>
      </c>
      <c r="B69" s="213"/>
      <c r="C69" s="160">
        <f t="shared" si="11"/>
        <v>119.54000000000087</v>
      </c>
      <c r="D69" s="390">
        <v>2.2737367544323206E-12</v>
      </c>
      <c r="E69" s="242"/>
      <c r="F69" s="243"/>
      <c r="G69" s="162">
        <f t="shared" si="13"/>
        <v>43830</v>
      </c>
      <c r="H69" s="163">
        <f t="shared" si="14"/>
        <v>119.8</v>
      </c>
      <c r="I69" s="164">
        <v>41275</v>
      </c>
      <c r="J69" s="165" t="str">
        <f t="shared" ref="J69:U78" si="19">IF(J$7&lt;$I69,"",IF(J$7=$I69,+$C69,IF(J$7&lt;=$G69,+(ROUND(($A69-$C69)/83,2)),"- - DONE - -")))</f>
        <v>- - DONE - -</v>
      </c>
      <c r="K69" s="165" t="str">
        <f t="shared" si="19"/>
        <v>- - DONE - -</v>
      </c>
      <c r="L69" s="165" t="str">
        <f t="shared" si="19"/>
        <v>- - DONE - -</v>
      </c>
      <c r="M69" s="165" t="str">
        <f t="shared" si="19"/>
        <v>- - DONE - -</v>
      </c>
      <c r="N69" s="165" t="str">
        <f t="shared" si="19"/>
        <v>- - DONE - -</v>
      </c>
      <c r="O69" s="165" t="str">
        <f t="shared" si="19"/>
        <v>- - DONE - -</v>
      </c>
      <c r="P69" s="165" t="str">
        <f t="shared" si="19"/>
        <v>- - DONE - -</v>
      </c>
      <c r="Q69" s="165" t="str">
        <f t="shared" si="19"/>
        <v>- - DONE - -</v>
      </c>
      <c r="R69" s="165" t="str">
        <f t="shared" si="19"/>
        <v>- - DONE - -</v>
      </c>
      <c r="S69" s="165" t="str">
        <f t="shared" si="19"/>
        <v>- - DONE - -</v>
      </c>
      <c r="T69" s="165" t="str">
        <f t="shared" si="19"/>
        <v>- - DONE - -</v>
      </c>
      <c r="U69" s="167" t="str">
        <f t="shared" si="19"/>
        <v>- - DONE - -</v>
      </c>
      <c r="V69" s="166">
        <f t="shared" si="15"/>
        <v>0</v>
      </c>
      <c r="W69" s="244">
        <f t="shared" si="16"/>
        <v>2.2737367544323206E-12</v>
      </c>
      <c r="X69" s="337"/>
      <c r="Y69" s="241"/>
      <c r="Z69" s="241"/>
      <c r="AA69" s="241"/>
      <c r="AB69" s="241"/>
      <c r="AC69" s="241"/>
    </row>
    <row r="70" spans="1:29" s="149" customFormat="1" ht="14.25">
      <c r="A70" s="152">
        <v>7156.89</v>
      </c>
      <c r="B70" s="168"/>
      <c r="C70" s="24">
        <f t="shared" si="11"/>
        <v>85.289999999999964</v>
      </c>
      <c r="D70" s="391">
        <v>-1.2079226507921703E-12</v>
      </c>
      <c r="E70" s="232"/>
      <c r="F70" s="233"/>
      <c r="G70" s="11">
        <f t="shared" si="13"/>
        <v>43861</v>
      </c>
      <c r="H70" s="25">
        <f t="shared" si="14"/>
        <v>85.2</v>
      </c>
      <c r="I70" s="16">
        <v>41306</v>
      </c>
      <c r="J70" s="13" t="str">
        <f t="shared" si="19"/>
        <v>- - DONE - -</v>
      </c>
      <c r="K70" s="13" t="str">
        <f t="shared" si="19"/>
        <v>- - DONE - -</v>
      </c>
      <c r="L70" s="13" t="str">
        <f t="shared" si="19"/>
        <v>- - DONE - -</v>
      </c>
      <c r="M70" s="13" t="str">
        <f t="shared" si="19"/>
        <v>- - DONE - -</v>
      </c>
      <c r="N70" s="13" t="str">
        <f t="shared" si="19"/>
        <v>- - DONE - -</v>
      </c>
      <c r="O70" s="13" t="str">
        <f t="shared" si="19"/>
        <v>- - DONE - -</v>
      </c>
      <c r="P70" s="13" t="str">
        <f t="shared" si="19"/>
        <v>- - DONE - -</v>
      </c>
      <c r="Q70" s="13" t="str">
        <f t="shared" si="19"/>
        <v>- - DONE - -</v>
      </c>
      <c r="R70" s="13" t="str">
        <f t="shared" si="19"/>
        <v>- - DONE - -</v>
      </c>
      <c r="S70" s="13" t="str">
        <f t="shared" si="19"/>
        <v>- - DONE - -</v>
      </c>
      <c r="T70" s="13" t="str">
        <f t="shared" si="19"/>
        <v>- - DONE - -</v>
      </c>
      <c r="U70" s="158" t="str">
        <f t="shared" si="19"/>
        <v>- - DONE - -</v>
      </c>
      <c r="V70" s="159">
        <f t="shared" si="15"/>
        <v>0</v>
      </c>
      <c r="W70" s="124">
        <f t="shared" si="16"/>
        <v>-1.2079226507921703E-12</v>
      </c>
      <c r="X70" s="337"/>
      <c r="Y70" s="241"/>
      <c r="Z70" s="241"/>
      <c r="AA70" s="241"/>
      <c r="AB70" s="241"/>
      <c r="AC70" s="241"/>
    </row>
    <row r="71" spans="1:29" s="149" customFormat="1" ht="14.25">
      <c r="A71" s="152">
        <v>11634.78</v>
      </c>
      <c r="B71" s="168"/>
      <c r="C71" s="24">
        <f t="shared" si="11"/>
        <v>138.45000000000073</v>
      </c>
      <c r="D71" s="392">
        <v>-5.999999999994543E-2</v>
      </c>
      <c r="E71" s="232"/>
      <c r="F71" s="233"/>
      <c r="G71" s="11">
        <f t="shared" si="13"/>
        <v>43889</v>
      </c>
      <c r="H71" s="25">
        <f t="shared" si="14"/>
        <v>138.51</v>
      </c>
      <c r="I71" s="157">
        <v>41334</v>
      </c>
      <c r="J71" s="13" t="str">
        <f t="shared" si="19"/>
        <v>- - DONE - -</v>
      </c>
      <c r="K71" s="13" t="str">
        <f t="shared" si="19"/>
        <v>- - DONE - -</v>
      </c>
      <c r="L71" s="13" t="str">
        <f t="shared" si="19"/>
        <v>- - DONE - -</v>
      </c>
      <c r="M71" s="13" t="str">
        <f t="shared" si="19"/>
        <v>- - DONE - -</v>
      </c>
      <c r="N71" s="13" t="str">
        <f t="shared" si="19"/>
        <v>- - DONE - -</v>
      </c>
      <c r="O71" s="13" t="str">
        <f t="shared" si="19"/>
        <v>- - DONE - -</v>
      </c>
      <c r="P71" s="13" t="str">
        <f t="shared" si="19"/>
        <v>- - DONE - -</v>
      </c>
      <c r="Q71" s="13" t="str">
        <f t="shared" si="19"/>
        <v>- - DONE - -</v>
      </c>
      <c r="R71" s="13" t="str">
        <f t="shared" si="19"/>
        <v>- - DONE - -</v>
      </c>
      <c r="S71" s="13" t="str">
        <f t="shared" si="19"/>
        <v>- - DONE - -</v>
      </c>
      <c r="T71" s="13" t="str">
        <f t="shared" si="19"/>
        <v>- - DONE - -</v>
      </c>
      <c r="U71" s="158" t="str">
        <f t="shared" si="19"/>
        <v>- - DONE - -</v>
      </c>
      <c r="V71" s="159">
        <f t="shared" si="15"/>
        <v>0</v>
      </c>
      <c r="W71" s="124">
        <f t="shared" si="16"/>
        <v>-5.999999999994543E-2</v>
      </c>
      <c r="X71" s="333"/>
    </row>
    <row r="72" spans="1:29" s="149" customFormat="1" ht="14.25">
      <c r="A72" s="152">
        <v>17407.509999999998</v>
      </c>
      <c r="B72" s="168"/>
      <c r="C72" s="24">
        <f t="shared" si="11"/>
        <v>207.41999999999825</v>
      </c>
      <c r="D72" s="392">
        <v>0.19000000000016826</v>
      </c>
      <c r="E72" s="232"/>
      <c r="F72" s="233"/>
      <c r="G72" s="11">
        <f t="shared" si="13"/>
        <v>43920</v>
      </c>
      <c r="H72" s="25">
        <f t="shared" si="14"/>
        <v>207.23</v>
      </c>
      <c r="I72" s="157">
        <v>41365</v>
      </c>
      <c r="J72" s="13" t="str">
        <f t="shared" si="19"/>
        <v>- - DONE - -</v>
      </c>
      <c r="K72" s="13" t="str">
        <f t="shared" si="19"/>
        <v>- - DONE - -</v>
      </c>
      <c r="L72" s="13" t="str">
        <f t="shared" si="19"/>
        <v>- - DONE - -</v>
      </c>
      <c r="M72" s="13" t="str">
        <f t="shared" si="19"/>
        <v>- - DONE - -</v>
      </c>
      <c r="N72" s="13" t="str">
        <f t="shared" si="19"/>
        <v>- - DONE - -</v>
      </c>
      <c r="O72" s="13" t="str">
        <f t="shared" si="19"/>
        <v>- - DONE - -</v>
      </c>
      <c r="P72" s="13" t="str">
        <f t="shared" si="19"/>
        <v>- - DONE - -</v>
      </c>
      <c r="Q72" s="13" t="str">
        <f t="shared" si="19"/>
        <v>- - DONE - -</v>
      </c>
      <c r="R72" s="13" t="str">
        <f t="shared" si="19"/>
        <v>- - DONE - -</v>
      </c>
      <c r="S72" s="13" t="str">
        <f t="shared" si="19"/>
        <v>- - DONE - -</v>
      </c>
      <c r="T72" s="13" t="str">
        <f t="shared" si="19"/>
        <v>- - DONE - -</v>
      </c>
      <c r="U72" s="158" t="str">
        <f t="shared" si="19"/>
        <v>- - DONE - -</v>
      </c>
      <c r="V72" s="159">
        <f t="shared" si="15"/>
        <v>0</v>
      </c>
      <c r="W72" s="124">
        <f t="shared" si="16"/>
        <v>0.19000000000016826</v>
      </c>
      <c r="X72" s="333"/>
    </row>
    <row r="73" spans="1:29" s="149" customFormat="1" ht="14.25">
      <c r="A73" s="152">
        <v>15065.3</v>
      </c>
      <c r="B73" s="168"/>
      <c r="C73" s="24">
        <f t="shared" ref="C73:C104" si="20">+A73-ROUND(A73/84,2)*83</f>
        <v>179.25</v>
      </c>
      <c r="D73" s="392">
        <v>-9.9999999996157385E-2</v>
      </c>
      <c r="E73" s="232"/>
      <c r="F73" s="233"/>
      <c r="G73" s="11">
        <f t="shared" ref="G73:G104" si="21">+I73+2555</f>
        <v>43950</v>
      </c>
      <c r="H73" s="25">
        <f t="shared" ref="H73:H104" si="22">+ROUND((+A73-C73)/83,2)</f>
        <v>179.35</v>
      </c>
      <c r="I73" s="157">
        <v>41395</v>
      </c>
      <c r="J73" s="13" t="str">
        <f t="shared" si="19"/>
        <v>- - DONE - -</v>
      </c>
      <c r="K73" s="13" t="str">
        <f t="shared" si="19"/>
        <v>- - DONE - -</v>
      </c>
      <c r="L73" s="13" t="str">
        <f t="shared" si="19"/>
        <v>- - DONE - -</v>
      </c>
      <c r="M73" s="13" t="str">
        <f t="shared" si="19"/>
        <v>- - DONE - -</v>
      </c>
      <c r="N73" s="13" t="str">
        <f t="shared" si="19"/>
        <v>- - DONE - -</v>
      </c>
      <c r="O73" s="13" t="str">
        <f t="shared" si="19"/>
        <v>- - DONE - -</v>
      </c>
      <c r="P73" s="13" t="str">
        <f t="shared" si="19"/>
        <v>- - DONE - -</v>
      </c>
      <c r="Q73" s="13" t="str">
        <f t="shared" si="19"/>
        <v>- - DONE - -</v>
      </c>
      <c r="R73" s="13" t="str">
        <f t="shared" si="19"/>
        <v>- - DONE - -</v>
      </c>
      <c r="S73" s="13" t="str">
        <f t="shared" si="19"/>
        <v>- - DONE - -</v>
      </c>
      <c r="T73" s="13" t="str">
        <f t="shared" si="19"/>
        <v>- - DONE - -</v>
      </c>
      <c r="U73" s="158" t="str">
        <f t="shared" si="19"/>
        <v>- - DONE - -</v>
      </c>
      <c r="V73" s="159">
        <f t="shared" ref="V73:V104" si="23">SUM(J73:U73)</f>
        <v>0</v>
      </c>
      <c r="W73" s="124">
        <f t="shared" ref="W73:W104" si="24">D73-V73</f>
        <v>-9.9999999996157385E-2</v>
      </c>
      <c r="X73" s="333"/>
    </row>
    <row r="74" spans="1:29" s="149" customFormat="1" ht="14.25">
      <c r="A74" s="152">
        <v>2101.66</v>
      </c>
      <c r="B74" s="168"/>
      <c r="C74" s="24">
        <f t="shared" si="20"/>
        <v>25</v>
      </c>
      <c r="D74" s="392">
        <v>-2.0000000000067075E-2</v>
      </c>
      <c r="E74" s="232"/>
      <c r="F74" s="233"/>
      <c r="G74" s="11">
        <f t="shared" si="21"/>
        <v>43981</v>
      </c>
      <c r="H74" s="25">
        <f t="shared" si="22"/>
        <v>25.02</v>
      </c>
      <c r="I74" s="157">
        <v>41426</v>
      </c>
      <c r="J74" s="13" t="str">
        <f t="shared" si="19"/>
        <v>- - DONE - -</v>
      </c>
      <c r="K74" s="13" t="str">
        <f t="shared" si="19"/>
        <v>- - DONE - -</v>
      </c>
      <c r="L74" s="13" t="str">
        <f t="shared" si="19"/>
        <v>- - DONE - -</v>
      </c>
      <c r="M74" s="13" t="str">
        <f t="shared" si="19"/>
        <v>- - DONE - -</v>
      </c>
      <c r="N74" s="13" t="str">
        <f t="shared" si="19"/>
        <v>- - DONE - -</v>
      </c>
      <c r="O74" s="13" t="str">
        <f t="shared" si="19"/>
        <v>- - DONE - -</v>
      </c>
      <c r="P74" s="13" t="str">
        <f t="shared" si="19"/>
        <v>- - DONE - -</v>
      </c>
      <c r="Q74" s="13" t="str">
        <f t="shared" si="19"/>
        <v>- - DONE - -</v>
      </c>
      <c r="R74" s="13" t="str">
        <f t="shared" si="19"/>
        <v>- - DONE - -</v>
      </c>
      <c r="S74" s="13" t="str">
        <f t="shared" si="19"/>
        <v>- - DONE - -</v>
      </c>
      <c r="T74" s="13" t="str">
        <f t="shared" si="19"/>
        <v>- - DONE - -</v>
      </c>
      <c r="U74" s="158" t="str">
        <f t="shared" si="19"/>
        <v>- - DONE - -</v>
      </c>
      <c r="V74" s="159">
        <f t="shared" si="23"/>
        <v>0</v>
      </c>
      <c r="W74" s="124">
        <f t="shared" si="24"/>
        <v>-2.0000000000067075E-2</v>
      </c>
      <c r="X74" s="333"/>
    </row>
    <row r="75" spans="1:29" s="149" customFormat="1" ht="14.25">
      <c r="A75" s="152">
        <v>22508.240000000002</v>
      </c>
      <c r="B75" s="168"/>
      <c r="C75" s="24">
        <f t="shared" si="20"/>
        <v>267.56000000000495</v>
      </c>
      <c r="D75" s="392">
        <v>-0.40000000000259206</v>
      </c>
      <c r="E75" s="232"/>
      <c r="F75" s="233"/>
      <c r="G75" s="11">
        <f t="shared" si="21"/>
        <v>44011</v>
      </c>
      <c r="H75" s="25">
        <f t="shared" si="22"/>
        <v>267.95999999999998</v>
      </c>
      <c r="I75" s="157">
        <v>41456</v>
      </c>
      <c r="J75" s="13" t="str">
        <f t="shared" si="19"/>
        <v>- - DONE - -</v>
      </c>
      <c r="K75" s="13" t="str">
        <f t="shared" si="19"/>
        <v>- - DONE - -</v>
      </c>
      <c r="L75" s="13" t="str">
        <f t="shared" si="19"/>
        <v>- - DONE - -</v>
      </c>
      <c r="M75" s="13" t="str">
        <f t="shared" si="19"/>
        <v>- - DONE - -</v>
      </c>
      <c r="N75" s="13" t="str">
        <f t="shared" si="19"/>
        <v>- - DONE - -</v>
      </c>
      <c r="O75" s="13" t="str">
        <f t="shared" si="19"/>
        <v>- - DONE - -</v>
      </c>
      <c r="P75" s="13" t="str">
        <f t="shared" si="19"/>
        <v>- - DONE - -</v>
      </c>
      <c r="Q75" s="13" t="str">
        <f t="shared" si="19"/>
        <v>- - DONE - -</v>
      </c>
      <c r="R75" s="13" t="str">
        <f t="shared" si="19"/>
        <v>- - DONE - -</v>
      </c>
      <c r="S75" s="13" t="str">
        <f t="shared" si="19"/>
        <v>- - DONE - -</v>
      </c>
      <c r="T75" s="13" t="str">
        <f t="shared" si="19"/>
        <v>- - DONE - -</v>
      </c>
      <c r="U75" s="158" t="str">
        <f t="shared" si="19"/>
        <v>- - DONE - -</v>
      </c>
      <c r="V75" s="159">
        <f t="shared" si="23"/>
        <v>0</v>
      </c>
      <c r="W75" s="124">
        <f t="shared" si="24"/>
        <v>-0.40000000000259206</v>
      </c>
      <c r="X75" s="333"/>
    </row>
    <row r="76" spans="1:29" s="149" customFormat="1" ht="14.25">
      <c r="A76" s="152">
        <v>12036.65</v>
      </c>
      <c r="B76" s="168"/>
      <c r="C76" s="24">
        <f t="shared" si="20"/>
        <v>143.57999999999993</v>
      </c>
      <c r="D76" s="392">
        <v>0.29000000000144155</v>
      </c>
      <c r="E76" s="232"/>
      <c r="F76" s="233"/>
      <c r="G76" s="11">
        <f t="shared" si="21"/>
        <v>44042</v>
      </c>
      <c r="H76" s="25">
        <f t="shared" si="22"/>
        <v>143.29</v>
      </c>
      <c r="I76" s="157">
        <v>41487</v>
      </c>
      <c r="J76" s="13" t="str">
        <f t="shared" si="19"/>
        <v>- - DONE - -</v>
      </c>
      <c r="K76" s="13" t="str">
        <f t="shared" si="19"/>
        <v>- - DONE - -</v>
      </c>
      <c r="L76" s="13" t="str">
        <f t="shared" si="19"/>
        <v>- - DONE - -</v>
      </c>
      <c r="M76" s="13" t="str">
        <f t="shared" si="19"/>
        <v>- - DONE - -</v>
      </c>
      <c r="N76" s="13" t="str">
        <f t="shared" si="19"/>
        <v>- - DONE - -</v>
      </c>
      <c r="O76" s="13" t="str">
        <f t="shared" si="19"/>
        <v>- - DONE - -</v>
      </c>
      <c r="P76" s="13" t="str">
        <f t="shared" si="19"/>
        <v>- - DONE - -</v>
      </c>
      <c r="Q76" s="13" t="str">
        <f t="shared" si="19"/>
        <v>- - DONE - -</v>
      </c>
      <c r="R76" s="13" t="str">
        <f t="shared" si="19"/>
        <v>- - DONE - -</v>
      </c>
      <c r="S76" s="13" t="str">
        <f t="shared" si="19"/>
        <v>- - DONE - -</v>
      </c>
      <c r="T76" s="13" t="str">
        <f t="shared" si="19"/>
        <v>- - DONE - -</v>
      </c>
      <c r="U76" s="158" t="str">
        <f t="shared" si="19"/>
        <v>- - DONE - -</v>
      </c>
      <c r="V76" s="159">
        <f t="shared" si="23"/>
        <v>0</v>
      </c>
      <c r="W76" s="124">
        <f t="shared" si="24"/>
        <v>0.29000000000144155</v>
      </c>
      <c r="X76" s="333"/>
    </row>
    <row r="77" spans="1:29" s="149" customFormat="1" ht="14.25">
      <c r="A77" s="152">
        <v>2752.75</v>
      </c>
      <c r="B77" s="168"/>
      <c r="C77" s="24">
        <f t="shared" si="20"/>
        <v>32.839999999999691</v>
      </c>
      <c r="D77" s="392">
        <v>6.9999999999822649E-2</v>
      </c>
      <c r="E77" s="232"/>
      <c r="F77" s="233"/>
      <c r="G77" s="11">
        <f t="shared" si="21"/>
        <v>44073</v>
      </c>
      <c r="H77" s="25">
        <f t="shared" si="22"/>
        <v>32.770000000000003</v>
      </c>
      <c r="I77" s="157">
        <v>41518</v>
      </c>
      <c r="J77" s="13" t="str">
        <f t="shared" si="19"/>
        <v>- - DONE - -</v>
      </c>
      <c r="K77" s="13" t="str">
        <f t="shared" si="19"/>
        <v>- - DONE - -</v>
      </c>
      <c r="L77" s="13" t="str">
        <f t="shared" si="19"/>
        <v>- - DONE - -</v>
      </c>
      <c r="M77" s="13" t="str">
        <f t="shared" si="19"/>
        <v>- - DONE - -</v>
      </c>
      <c r="N77" s="13" t="str">
        <f t="shared" si="19"/>
        <v>- - DONE - -</v>
      </c>
      <c r="O77" s="13" t="str">
        <f t="shared" si="19"/>
        <v>- - DONE - -</v>
      </c>
      <c r="P77" s="13" t="str">
        <f t="shared" si="19"/>
        <v>- - DONE - -</v>
      </c>
      <c r="Q77" s="13" t="str">
        <f t="shared" si="19"/>
        <v>- - DONE - -</v>
      </c>
      <c r="R77" s="13" t="str">
        <f t="shared" si="19"/>
        <v>- - DONE - -</v>
      </c>
      <c r="S77" s="13" t="str">
        <f t="shared" si="19"/>
        <v>- - DONE - -</v>
      </c>
      <c r="T77" s="13" t="str">
        <f t="shared" si="19"/>
        <v>- - DONE - -</v>
      </c>
      <c r="U77" s="158" t="str">
        <f t="shared" si="19"/>
        <v>- - DONE - -</v>
      </c>
      <c r="V77" s="159">
        <f t="shared" si="23"/>
        <v>0</v>
      </c>
      <c r="W77" s="124">
        <f t="shared" si="24"/>
        <v>6.9999999999822649E-2</v>
      </c>
      <c r="X77" s="333"/>
    </row>
    <row r="78" spans="1:29" s="149" customFormat="1" ht="14.25">
      <c r="A78" s="152">
        <v>25530.799999999999</v>
      </c>
      <c r="B78" s="168"/>
      <c r="C78" s="24">
        <f t="shared" si="20"/>
        <v>303.77999999999884</v>
      </c>
      <c r="D78" s="392">
        <v>-0.16000000000030923</v>
      </c>
      <c r="E78" s="232"/>
      <c r="F78" s="233"/>
      <c r="G78" s="11">
        <f t="shared" si="21"/>
        <v>44103</v>
      </c>
      <c r="H78" s="25">
        <f t="shared" si="22"/>
        <v>303.94</v>
      </c>
      <c r="I78" s="157">
        <v>41548</v>
      </c>
      <c r="J78" s="13" t="str">
        <f t="shared" si="19"/>
        <v>- - DONE - -</v>
      </c>
      <c r="K78" s="13" t="str">
        <f t="shared" si="19"/>
        <v>- - DONE - -</v>
      </c>
      <c r="L78" s="13" t="str">
        <f t="shared" si="19"/>
        <v>- - DONE - -</v>
      </c>
      <c r="M78" s="13" t="str">
        <f t="shared" si="19"/>
        <v>- - DONE - -</v>
      </c>
      <c r="N78" s="13" t="str">
        <f t="shared" si="19"/>
        <v>- - DONE - -</v>
      </c>
      <c r="O78" s="13" t="str">
        <f t="shared" si="19"/>
        <v>- - DONE - -</v>
      </c>
      <c r="P78" s="13" t="str">
        <f t="shared" si="19"/>
        <v>- - DONE - -</v>
      </c>
      <c r="Q78" s="13" t="str">
        <f t="shared" si="19"/>
        <v>- - DONE - -</v>
      </c>
      <c r="R78" s="13" t="str">
        <f t="shared" si="19"/>
        <v>- - DONE - -</v>
      </c>
      <c r="S78" s="13" t="str">
        <f t="shared" si="19"/>
        <v>- - DONE - -</v>
      </c>
      <c r="T78" s="13" t="str">
        <f t="shared" si="19"/>
        <v>- - DONE - -</v>
      </c>
      <c r="U78" s="158" t="str">
        <f t="shared" si="19"/>
        <v>- - DONE - -</v>
      </c>
      <c r="V78" s="159">
        <f t="shared" si="23"/>
        <v>0</v>
      </c>
      <c r="W78" s="124">
        <f t="shared" si="24"/>
        <v>-0.16000000000030923</v>
      </c>
      <c r="X78" s="333"/>
    </row>
    <row r="79" spans="1:29" s="149" customFormat="1" ht="14.25">
      <c r="A79" s="152">
        <v>8743.09</v>
      </c>
      <c r="B79" s="168"/>
      <c r="C79" s="24">
        <f t="shared" si="20"/>
        <v>104.45000000000073</v>
      </c>
      <c r="D79" s="392">
        <v>0.36999999999989086</v>
      </c>
      <c r="E79" s="232"/>
      <c r="F79" s="233"/>
      <c r="G79" s="11">
        <f t="shared" si="21"/>
        <v>44134</v>
      </c>
      <c r="H79" s="25">
        <f t="shared" si="22"/>
        <v>104.08</v>
      </c>
      <c r="I79" s="157">
        <v>41579</v>
      </c>
      <c r="J79" s="13" t="str">
        <f t="shared" ref="J79:U88" si="25">IF(J$7&lt;$I79,"",IF(J$7=$I79,+$C79,IF(J$7&lt;=$G79,+(ROUND(($A79-$C79)/83,2)),"- - DONE - -")))</f>
        <v>- - DONE - -</v>
      </c>
      <c r="K79" s="13" t="str">
        <f t="shared" si="25"/>
        <v>- - DONE - -</v>
      </c>
      <c r="L79" s="13" t="str">
        <f t="shared" si="25"/>
        <v>- - DONE - -</v>
      </c>
      <c r="M79" s="13" t="str">
        <f t="shared" si="25"/>
        <v>- - DONE - -</v>
      </c>
      <c r="N79" s="13" t="str">
        <f t="shared" si="25"/>
        <v>- - DONE - -</v>
      </c>
      <c r="O79" s="13" t="str">
        <f t="shared" si="25"/>
        <v>- - DONE - -</v>
      </c>
      <c r="P79" s="13" t="str">
        <f t="shared" si="25"/>
        <v>- - DONE - -</v>
      </c>
      <c r="Q79" s="13" t="str">
        <f t="shared" si="25"/>
        <v>- - DONE - -</v>
      </c>
      <c r="R79" s="13" t="str">
        <f t="shared" si="25"/>
        <v>- - DONE - -</v>
      </c>
      <c r="S79" s="13" t="str">
        <f t="shared" si="25"/>
        <v>- - DONE - -</v>
      </c>
      <c r="T79" s="13" t="str">
        <f t="shared" si="25"/>
        <v>- - DONE - -</v>
      </c>
      <c r="U79" s="158" t="str">
        <f t="shared" si="25"/>
        <v>- - DONE - -</v>
      </c>
      <c r="V79" s="159">
        <f t="shared" si="23"/>
        <v>0</v>
      </c>
      <c r="W79" s="124">
        <f t="shared" si="24"/>
        <v>0.36999999999989086</v>
      </c>
      <c r="X79" s="333"/>
    </row>
    <row r="80" spans="1:29" s="149" customFormat="1" ht="14.25">
      <c r="A80" s="152">
        <v>17974.68</v>
      </c>
      <c r="B80" s="169"/>
      <c r="C80" s="24">
        <f t="shared" si="20"/>
        <v>214.34000000000015</v>
      </c>
      <c r="D80" s="392">
        <v>0.36000000000012733</v>
      </c>
      <c r="E80" s="232"/>
      <c r="F80" s="233"/>
      <c r="G80" s="11">
        <f t="shared" si="21"/>
        <v>44164</v>
      </c>
      <c r="H80" s="25">
        <f t="shared" si="22"/>
        <v>213.98</v>
      </c>
      <c r="I80" s="157">
        <v>41609</v>
      </c>
      <c r="J80" s="13" t="str">
        <f t="shared" si="25"/>
        <v>- - DONE - -</v>
      </c>
      <c r="K80" s="13" t="str">
        <f t="shared" si="25"/>
        <v>- - DONE - -</v>
      </c>
      <c r="L80" s="13" t="str">
        <f t="shared" si="25"/>
        <v>- - DONE - -</v>
      </c>
      <c r="M80" s="13" t="str">
        <f t="shared" si="25"/>
        <v>- - DONE - -</v>
      </c>
      <c r="N80" s="13" t="str">
        <f t="shared" si="25"/>
        <v>- - DONE - -</v>
      </c>
      <c r="O80" s="13" t="str">
        <f t="shared" si="25"/>
        <v>- - DONE - -</v>
      </c>
      <c r="P80" s="13" t="str">
        <f t="shared" si="25"/>
        <v>- - DONE - -</v>
      </c>
      <c r="Q80" s="13" t="str">
        <f t="shared" si="25"/>
        <v>- - DONE - -</v>
      </c>
      <c r="R80" s="13" t="str">
        <f t="shared" si="25"/>
        <v>- - DONE - -</v>
      </c>
      <c r="S80" s="13" t="str">
        <f t="shared" si="25"/>
        <v>- - DONE - -</v>
      </c>
      <c r="T80" s="13" t="str">
        <f t="shared" si="25"/>
        <v>- - DONE - -</v>
      </c>
      <c r="U80" s="158" t="str">
        <f t="shared" si="25"/>
        <v>- - DONE - -</v>
      </c>
      <c r="V80" s="159">
        <f t="shared" si="23"/>
        <v>0</v>
      </c>
      <c r="W80" s="124">
        <f t="shared" si="24"/>
        <v>0.36000000000012733</v>
      </c>
      <c r="X80" s="333"/>
    </row>
    <row r="81" spans="1:29" s="195" customFormat="1" ht="14.25">
      <c r="A81" s="188">
        <v>26480.91</v>
      </c>
      <c r="B81" s="186"/>
      <c r="C81" s="187">
        <f t="shared" si="20"/>
        <v>315.15999999999985</v>
      </c>
      <c r="D81" s="188">
        <v>0</v>
      </c>
      <c r="E81" s="252"/>
      <c r="F81" s="253"/>
      <c r="G81" s="189">
        <f t="shared" si="21"/>
        <v>44195</v>
      </c>
      <c r="H81" s="190">
        <f t="shared" si="22"/>
        <v>315.25</v>
      </c>
      <c r="I81" s="191">
        <v>41640</v>
      </c>
      <c r="J81" s="192" t="str">
        <f t="shared" si="25"/>
        <v>- - DONE - -</v>
      </c>
      <c r="K81" s="192" t="str">
        <f t="shared" si="25"/>
        <v>- - DONE - -</v>
      </c>
      <c r="L81" s="192" t="str">
        <f t="shared" si="25"/>
        <v>- - DONE - -</v>
      </c>
      <c r="M81" s="192" t="str">
        <f t="shared" si="25"/>
        <v>- - DONE - -</v>
      </c>
      <c r="N81" s="192" t="str">
        <f t="shared" si="25"/>
        <v>- - DONE - -</v>
      </c>
      <c r="O81" s="192" t="str">
        <f t="shared" si="25"/>
        <v>- - DONE - -</v>
      </c>
      <c r="P81" s="192" t="str">
        <f t="shared" si="25"/>
        <v>- - DONE - -</v>
      </c>
      <c r="Q81" s="192" t="str">
        <f t="shared" si="25"/>
        <v>- - DONE - -</v>
      </c>
      <c r="R81" s="192" t="str">
        <f t="shared" si="25"/>
        <v>- - DONE - -</v>
      </c>
      <c r="S81" s="192" t="str">
        <f t="shared" si="25"/>
        <v>- - DONE - -</v>
      </c>
      <c r="T81" s="192" t="str">
        <f t="shared" si="25"/>
        <v>- - DONE - -</v>
      </c>
      <c r="U81" s="193" t="str">
        <f t="shared" si="25"/>
        <v>- - DONE - -</v>
      </c>
      <c r="V81" s="194">
        <f t="shared" si="23"/>
        <v>0</v>
      </c>
      <c r="W81" s="254">
        <f t="shared" si="24"/>
        <v>0</v>
      </c>
      <c r="X81" s="335"/>
      <c r="Y81" s="248"/>
      <c r="Z81" s="248"/>
      <c r="AA81" s="248"/>
      <c r="AB81" s="248"/>
      <c r="AC81" s="248"/>
    </row>
    <row r="82" spans="1:29" s="195" customFormat="1" ht="14.25">
      <c r="A82" s="197">
        <v>6772.75</v>
      </c>
      <c r="B82" s="186"/>
      <c r="C82" s="196">
        <f t="shared" si="20"/>
        <v>80.460000000000036</v>
      </c>
      <c r="D82" s="197">
        <v>80.630000000000564</v>
      </c>
      <c r="E82" s="257"/>
      <c r="F82" s="258"/>
      <c r="G82" s="198">
        <f t="shared" si="21"/>
        <v>44226</v>
      </c>
      <c r="H82" s="199">
        <f t="shared" si="22"/>
        <v>80.63</v>
      </c>
      <c r="I82" s="200">
        <v>41671</v>
      </c>
      <c r="J82" s="201">
        <f t="shared" si="25"/>
        <v>80.63</v>
      </c>
      <c r="K82" s="201" t="str">
        <f t="shared" si="25"/>
        <v>- - DONE - -</v>
      </c>
      <c r="L82" s="201" t="str">
        <f t="shared" si="25"/>
        <v>- - DONE - -</v>
      </c>
      <c r="M82" s="201" t="str">
        <f t="shared" si="25"/>
        <v>- - DONE - -</v>
      </c>
      <c r="N82" s="201" t="str">
        <f t="shared" si="25"/>
        <v>- - DONE - -</v>
      </c>
      <c r="O82" s="201" t="str">
        <f t="shared" si="25"/>
        <v>- - DONE - -</v>
      </c>
      <c r="P82" s="201" t="str">
        <f t="shared" si="25"/>
        <v>- - DONE - -</v>
      </c>
      <c r="Q82" s="201" t="str">
        <f t="shared" si="25"/>
        <v>- - DONE - -</v>
      </c>
      <c r="R82" s="201" t="str">
        <f t="shared" si="25"/>
        <v>- - DONE - -</v>
      </c>
      <c r="S82" s="201" t="str">
        <f t="shared" si="25"/>
        <v>- - DONE - -</v>
      </c>
      <c r="T82" s="201" t="str">
        <f t="shared" si="25"/>
        <v>- - DONE - -</v>
      </c>
      <c r="U82" s="202" t="str">
        <f t="shared" si="25"/>
        <v>- - DONE - -</v>
      </c>
      <c r="V82" s="203">
        <f t="shared" si="23"/>
        <v>80.63</v>
      </c>
      <c r="W82" s="259">
        <f t="shared" si="24"/>
        <v>5.6843418860808015E-13</v>
      </c>
      <c r="X82" s="335"/>
      <c r="Y82" s="248"/>
      <c r="Z82" s="248"/>
      <c r="AA82" s="248"/>
      <c r="AB82" s="248"/>
      <c r="AC82" s="248"/>
    </row>
    <row r="83" spans="1:29" s="195" customFormat="1" ht="14.25">
      <c r="A83" s="197">
        <v>18504.3</v>
      </c>
      <c r="B83" s="186"/>
      <c r="C83" s="196">
        <f t="shared" si="20"/>
        <v>220.22999999999956</v>
      </c>
      <c r="D83" s="443">
        <v>440.52000000000135</v>
      </c>
      <c r="E83" s="257"/>
      <c r="F83" s="258"/>
      <c r="G83" s="198">
        <f t="shared" si="21"/>
        <v>44254</v>
      </c>
      <c r="H83" s="199">
        <f t="shared" si="22"/>
        <v>220.29</v>
      </c>
      <c r="I83" s="204">
        <v>41699</v>
      </c>
      <c r="J83" s="201">
        <f t="shared" si="25"/>
        <v>220.29</v>
      </c>
      <c r="K83" s="201">
        <f t="shared" si="25"/>
        <v>220.29</v>
      </c>
      <c r="L83" s="201" t="str">
        <f t="shared" si="25"/>
        <v>- - DONE - -</v>
      </c>
      <c r="M83" s="201" t="str">
        <f t="shared" si="25"/>
        <v>- - DONE - -</v>
      </c>
      <c r="N83" s="201" t="str">
        <f t="shared" si="25"/>
        <v>- - DONE - -</v>
      </c>
      <c r="O83" s="201" t="str">
        <f t="shared" si="25"/>
        <v>- - DONE - -</v>
      </c>
      <c r="P83" s="201" t="str">
        <f t="shared" si="25"/>
        <v>- - DONE - -</v>
      </c>
      <c r="Q83" s="201" t="str">
        <f t="shared" si="25"/>
        <v>- - DONE - -</v>
      </c>
      <c r="R83" s="201" t="str">
        <f t="shared" si="25"/>
        <v>- - DONE - -</v>
      </c>
      <c r="S83" s="201" t="str">
        <f t="shared" si="25"/>
        <v>- - DONE - -</v>
      </c>
      <c r="T83" s="201" t="str">
        <f t="shared" si="25"/>
        <v>- - DONE - -</v>
      </c>
      <c r="U83" s="202" t="str">
        <f t="shared" si="25"/>
        <v>- - DONE - -</v>
      </c>
      <c r="V83" s="203">
        <f t="shared" si="23"/>
        <v>440.58</v>
      </c>
      <c r="W83" s="259">
        <f t="shared" si="24"/>
        <v>-5.9999999998638032E-2</v>
      </c>
      <c r="X83" s="334"/>
      <c r="Y83" s="247"/>
      <c r="Z83" s="247"/>
      <c r="AA83" s="247"/>
      <c r="AB83" s="247"/>
      <c r="AC83" s="247"/>
    </row>
    <row r="84" spans="1:29" s="195" customFormat="1" ht="14.25">
      <c r="A84" s="197">
        <v>17898.919999999998</v>
      </c>
      <c r="B84" s="186"/>
      <c r="C84" s="196">
        <f t="shared" si="20"/>
        <v>213.27999999999884</v>
      </c>
      <c r="D84" s="443">
        <v>639.44000000000506</v>
      </c>
      <c r="E84" s="257"/>
      <c r="F84" s="258"/>
      <c r="G84" s="198">
        <f t="shared" si="21"/>
        <v>44285</v>
      </c>
      <c r="H84" s="199">
        <f t="shared" si="22"/>
        <v>213.08</v>
      </c>
      <c r="I84" s="204">
        <v>41730</v>
      </c>
      <c r="J84" s="201">
        <f t="shared" si="25"/>
        <v>213.08</v>
      </c>
      <c r="K84" s="201">
        <f t="shared" si="25"/>
        <v>213.08</v>
      </c>
      <c r="L84" s="201">
        <f t="shared" si="25"/>
        <v>213.08</v>
      </c>
      <c r="M84" s="201" t="str">
        <f t="shared" si="25"/>
        <v>- - DONE - -</v>
      </c>
      <c r="N84" s="201" t="str">
        <f t="shared" si="25"/>
        <v>- - DONE - -</v>
      </c>
      <c r="O84" s="201" t="str">
        <f t="shared" si="25"/>
        <v>- - DONE - -</v>
      </c>
      <c r="P84" s="201" t="str">
        <f t="shared" si="25"/>
        <v>- - DONE - -</v>
      </c>
      <c r="Q84" s="201" t="str">
        <f t="shared" si="25"/>
        <v>- - DONE - -</v>
      </c>
      <c r="R84" s="201" t="str">
        <f t="shared" si="25"/>
        <v>- - DONE - -</v>
      </c>
      <c r="S84" s="201" t="str">
        <f t="shared" si="25"/>
        <v>- - DONE - -</v>
      </c>
      <c r="T84" s="201" t="str">
        <f t="shared" si="25"/>
        <v>- - DONE - -</v>
      </c>
      <c r="U84" s="202" t="str">
        <f t="shared" si="25"/>
        <v>- - DONE - -</v>
      </c>
      <c r="V84" s="203">
        <f t="shared" si="23"/>
        <v>639.24</v>
      </c>
      <c r="W84" s="259">
        <f t="shared" si="24"/>
        <v>0.2000000000050477</v>
      </c>
      <c r="X84" s="334"/>
      <c r="Y84" s="247"/>
      <c r="Z84" s="247"/>
      <c r="AA84" s="247"/>
      <c r="AB84" s="247"/>
      <c r="AC84" s="247"/>
    </row>
    <row r="85" spans="1:29" s="195" customFormat="1" ht="14.25">
      <c r="A85" s="197">
        <v>9433.4500000000007</v>
      </c>
      <c r="B85" s="186"/>
      <c r="C85" s="196">
        <f t="shared" si="20"/>
        <v>112.55000000000109</v>
      </c>
      <c r="D85" s="443">
        <v>449.45000000000209</v>
      </c>
      <c r="E85" s="257"/>
      <c r="F85" s="258"/>
      <c r="G85" s="198">
        <f t="shared" si="21"/>
        <v>44315</v>
      </c>
      <c r="H85" s="199">
        <f t="shared" si="22"/>
        <v>112.3</v>
      </c>
      <c r="I85" s="204">
        <v>41760</v>
      </c>
      <c r="J85" s="201">
        <f t="shared" si="25"/>
        <v>112.3</v>
      </c>
      <c r="K85" s="201">
        <f t="shared" si="25"/>
        <v>112.3</v>
      </c>
      <c r="L85" s="201">
        <f t="shared" si="25"/>
        <v>112.3</v>
      </c>
      <c r="M85" s="201">
        <f t="shared" si="25"/>
        <v>112.3</v>
      </c>
      <c r="N85" s="201" t="str">
        <f t="shared" si="25"/>
        <v>- - DONE - -</v>
      </c>
      <c r="O85" s="201" t="str">
        <f t="shared" si="25"/>
        <v>- - DONE - -</v>
      </c>
      <c r="P85" s="201" t="str">
        <f t="shared" si="25"/>
        <v>- - DONE - -</v>
      </c>
      <c r="Q85" s="201" t="str">
        <f t="shared" si="25"/>
        <v>- - DONE - -</v>
      </c>
      <c r="R85" s="201" t="str">
        <f t="shared" si="25"/>
        <v>- - DONE - -</v>
      </c>
      <c r="S85" s="201" t="str">
        <f t="shared" si="25"/>
        <v>- - DONE - -</v>
      </c>
      <c r="T85" s="201" t="str">
        <f t="shared" si="25"/>
        <v>- - DONE - -</v>
      </c>
      <c r="U85" s="202" t="str">
        <f t="shared" si="25"/>
        <v>- - DONE - -</v>
      </c>
      <c r="V85" s="203">
        <f t="shared" si="23"/>
        <v>449.2</v>
      </c>
      <c r="W85" s="259">
        <f t="shared" si="24"/>
        <v>0.25000000000210321</v>
      </c>
      <c r="X85" s="334"/>
      <c r="Y85" s="247"/>
      <c r="Z85" s="247"/>
      <c r="AA85" s="247"/>
      <c r="AB85" s="247"/>
      <c r="AC85" s="247"/>
    </row>
    <row r="86" spans="1:29" s="195" customFormat="1" ht="14.25">
      <c r="A86" s="197">
        <v>6046</v>
      </c>
      <c r="B86" s="186"/>
      <c r="C86" s="196">
        <f t="shared" si="20"/>
        <v>71.659999999999854</v>
      </c>
      <c r="D86" s="443">
        <v>359.57999999999913</v>
      </c>
      <c r="E86" s="257"/>
      <c r="F86" s="258"/>
      <c r="G86" s="198">
        <f t="shared" si="21"/>
        <v>44346</v>
      </c>
      <c r="H86" s="199">
        <f t="shared" si="22"/>
        <v>71.98</v>
      </c>
      <c r="I86" s="204">
        <v>41791</v>
      </c>
      <c r="J86" s="201">
        <f t="shared" si="25"/>
        <v>71.98</v>
      </c>
      <c r="K86" s="201">
        <f t="shared" si="25"/>
        <v>71.98</v>
      </c>
      <c r="L86" s="201">
        <f t="shared" si="25"/>
        <v>71.98</v>
      </c>
      <c r="M86" s="201">
        <f t="shared" si="25"/>
        <v>71.98</v>
      </c>
      <c r="N86" s="201">
        <f t="shared" si="25"/>
        <v>71.98</v>
      </c>
      <c r="O86" s="201" t="str">
        <f t="shared" si="25"/>
        <v>- - DONE - -</v>
      </c>
      <c r="P86" s="201" t="str">
        <f t="shared" si="25"/>
        <v>- - DONE - -</v>
      </c>
      <c r="Q86" s="201" t="str">
        <f t="shared" si="25"/>
        <v>- - DONE - -</v>
      </c>
      <c r="R86" s="201" t="str">
        <f t="shared" si="25"/>
        <v>- - DONE - -</v>
      </c>
      <c r="S86" s="201" t="str">
        <f t="shared" si="25"/>
        <v>- - DONE - -</v>
      </c>
      <c r="T86" s="201" t="str">
        <f t="shared" si="25"/>
        <v>- - DONE - -</v>
      </c>
      <c r="U86" s="202" t="str">
        <f t="shared" si="25"/>
        <v>- - DONE - -</v>
      </c>
      <c r="V86" s="203">
        <f t="shared" si="23"/>
        <v>359.90000000000003</v>
      </c>
      <c r="W86" s="259">
        <f t="shared" si="24"/>
        <v>-0.32000000000090267</v>
      </c>
      <c r="X86" s="334"/>
    </row>
    <row r="87" spans="1:29" s="195" customFormat="1" ht="14.25">
      <c r="A87" s="197">
        <v>23673.17</v>
      </c>
      <c r="B87" s="186"/>
      <c r="C87" s="196">
        <f t="shared" si="20"/>
        <v>282.11000000000058</v>
      </c>
      <c r="D87" s="443">
        <v>1691.2099999999987</v>
      </c>
      <c r="E87" s="257"/>
      <c r="F87" s="258"/>
      <c r="G87" s="198">
        <f t="shared" si="21"/>
        <v>44376</v>
      </c>
      <c r="H87" s="199">
        <f t="shared" si="22"/>
        <v>281.82</v>
      </c>
      <c r="I87" s="204">
        <v>41821</v>
      </c>
      <c r="J87" s="201">
        <f t="shared" si="25"/>
        <v>281.82</v>
      </c>
      <c r="K87" s="201">
        <f t="shared" si="25"/>
        <v>281.82</v>
      </c>
      <c r="L87" s="201">
        <f t="shared" si="25"/>
        <v>281.82</v>
      </c>
      <c r="M87" s="201">
        <f t="shared" si="25"/>
        <v>281.82</v>
      </c>
      <c r="N87" s="201">
        <f t="shared" si="25"/>
        <v>281.82</v>
      </c>
      <c r="O87" s="201">
        <f t="shared" si="25"/>
        <v>281.82</v>
      </c>
      <c r="P87" s="201" t="str">
        <f t="shared" si="25"/>
        <v>- - DONE - -</v>
      </c>
      <c r="Q87" s="201" t="str">
        <f t="shared" si="25"/>
        <v>- - DONE - -</v>
      </c>
      <c r="R87" s="201" t="str">
        <f t="shared" si="25"/>
        <v>- - DONE - -</v>
      </c>
      <c r="S87" s="201" t="str">
        <f t="shared" si="25"/>
        <v>- - DONE - -</v>
      </c>
      <c r="T87" s="201" t="str">
        <f t="shared" si="25"/>
        <v>- - DONE - -</v>
      </c>
      <c r="U87" s="202" t="str">
        <f t="shared" si="25"/>
        <v>- - DONE - -</v>
      </c>
      <c r="V87" s="203">
        <f t="shared" si="23"/>
        <v>1690.9199999999998</v>
      </c>
      <c r="W87" s="259">
        <f t="shared" si="24"/>
        <v>0.28999999999882675</v>
      </c>
      <c r="X87" s="334"/>
    </row>
    <row r="88" spans="1:29" s="195" customFormat="1" ht="14.25">
      <c r="A88" s="197">
        <v>33173.75</v>
      </c>
      <c r="B88" s="186"/>
      <c r="C88" s="196">
        <f t="shared" si="20"/>
        <v>394.55999999999767</v>
      </c>
      <c r="D88" s="443">
        <v>2764.1399999999994</v>
      </c>
      <c r="E88" s="257"/>
      <c r="F88" s="258"/>
      <c r="G88" s="198">
        <f t="shared" si="21"/>
        <v>44407</v>
      </c>
      <c r="H88" s="199">
        <f t="shared" si="22"/>
        <v>394.93</v>
      </c>
      <c r="I88" s="204">
        <v>41852</v>
      </c>
      <c r="J88" s="201">
        <f t="shared" si="25"/>
        <v>394.93</v>
      </c>
      <c r="K88" s="201">
        <f t="shared" si="25"/>
        <v>394.93</v>
      </c>
      <c r="L88" s="201">
        <f t="shared" si="25"/>
        <v>394.93</v>
      </c>
      <c r="M88" s="201">
        <f t="shared" si="25"/>
        <v>394.93</v>
      </c>
      <c r="N88" s="201">
        <f t="shared" si="25"/>
        <v>394.93</v>
      </c>
      <c r="O88" s="201">
        <f t="shared" si="25"/>
        <v>394.93</v>
      </c>
      <c r="P88" s="201">
        <f t="shared" si="25"/>
        <v>394.93</v>
      </c>
      <c r="Q88" s="201" t="str">
        <f t="shared" si="25"/>
        <v>- - DONE - -</v>
      </c>
      <c r="R88" s="201" t="str">
        <f t="shared" si="25"/>
        <v>- - DONE - -</v>
      </c>
      <c r="S88" s="201" t="str">
        <f t="shared" si="25"/>
        <v>- - DONE - -</v>
      </c>
      <c r="T88" s="201" t="str">
        <f t="shared" si="25"/>
        <v>- - DONE - -</v>
      </c>
      <c r="U88" s="202" t="str">
        <f t="shared" si="25"/>
        <v>- - DONE - -</v>
      </c>
      <c r="V88" s="203">
        <f t="shared" si="23"/>
        <v>2764.5099999999998</v>
      </c>
      <c r="W88" s="259">
        <f t="shared" si="24"/>
        <v>-0.37000000000034561</v>
      </c>
      <c r="X88" s="334"/>
    </row>
    <row r="89" spans="1:29" s="195" customFormat="1" ht="14.25">
      <c r="A89" s="197">
        <v>5215.6899999999996</v>
      </c>
      <c r="B89" s="186"/>
      <c r="C89" s="196">
        <f t="shared" si="20"/>
        <v>62.219999999999345</v>
      </c>
      <c r="D89" s="443">
        <v>496.8499999999982</v>
      </c>
      <c r="E89" s="257"/>
      <c r="F89" s="258"/>
      <c r="G89" s="198">
        <f t="shared" si="21"/>
        <v>44438</v>
      </c>
      <c r="H89" s="199">
        <f t="shared" si="22"/>
        <v>62.09</v>
      </c>
      <c r="I89" s="204">
        <v>41883</v>
      </c>
      <c r="J89" s="201">
        <f t="shared" ref="J89:U98" si="26">IF(J$7&lt;$I89,"",IF(J$7=$I89,+$C89,IF(J$7&lt;=$G89,+(ROUND(($A89-$C89)/83,2)),"- - DONE - -")))</f>
        <v>62.09</v>
      </c>
      <c r="K89" s="201">
        <f t="shared" si="26"/>
        <v>62.09</v>
      </c>
      <c r="L89" s="201">
        <f t="shared" si="26"/>
        <v>62.09</v>
      </c>
      <c r="M89" s="201">
        <f t="shared" si="26"/>
        <v>62.09</v>
      </c>
      <c r="N89" s="201">
        <f t="shared" si="26"/>
        <v>62.09</v>
      </c>
      <c r="O89" s="201">
        <f t="shared" si="26"/>
        <v>62.09</v>
      </c>
      <c r="P89" s="201">
        <f t="shared" si="26"/>
        <v>62.09</v>
      </c>
      <c r="Q89" s="201">
        <f t="shared" si="26"/>
        <v>62.09</v>
      </c>
      <c r="R89" s="201" t="str">
        <f t="shared" si="26"/>
        <v>- - DONE - -</v>
      </c>
      <c r="S89" s="201" t="str">
        <f t="shared" si="26"/>
        <v>- - DONE - -</v>
      </c>
      <c r="T89" s="201" t="str">
        <f t="shared" si="26"/>
        <v>- - DONE - -</v>
      </c>
      <c r="U89" s="202" t="str">
        <f t="shared" si="26"/>
        <v>- - DONE - -</v>
      </c>
      <c r="V89" s="203">
        <f t="shared" si="23"/>
        <v>496.72000000000014</v>
      </c>
      <c r="W89" s="259">
        <f t="shared" si="24"/>
        <v>0.12999999999806278</v>
      </c>
      <c r="X89" s="334"/>
    </row>
    <row r="90" spans="1:29" s="195" customFormat="1" ht="14.25">
      <c r="A90" s="197">
        <v>13808.13</v>
      </c>
      <c r="B90" s="186"/>
      <c r="C90" s="196">
        <f t="shared" si="20"/>
        <v>164.59000000000015</v>
      </c>
      <c r="D90" s="443">
        <v>1479.6299999999974</v>
      </c>
      <c r="E90" s="257"/>
      <c r="F90" s="258"/>
      <c r="G90" s="198">
        <f t="shared" si="21"/>
        <v>44468</v>
      </c>
      <c r="H90" s="199">
        <f t="shared" si="22"/>
        <v>164.38</v>
      </c>
      <c r="I90" s="204">
        <v>41913</v>
      </c>
      <c r="J90" s="201">
        <f t="shared" si="26"/>
        <v>164.38</v>
      </c>
      <c r="K90" s="201">
        <f t="shared" si="26"/>
        <v>164.38</v>
      </c>
      <c r="L90" s="201">
        <f t="shared" si="26"/>
        <v>164.38</v>
      </c>
      <c r="M90" s="201">
        <f t="shared" si="26"/>
        <v>164.38</v>
      </c>
      <c r="N90" s="201">
        <f t="shared" si="26"/>
        <v>164.38</v>
      </c>
      <c r="O90" s="201">
        <f t="shared" si="26"/>
        <v>164.38</v>
      </c>
      <c r="P90" s="201">
        <f t="shared" si="26"/>
        <v>164.38</v>
      </c>
      <c r="Q90" s="201">
        <f t="shared" si="26"/>
        <v>164.38</v>
      </c>
      <c r="R90" s="201">
        <f t="shared" si="26"/>
        <v>164.38</v>
      </c>
      <c r="S90" s="201" t="str">
        <f t="shared" si="26"/>
        <v>- - DONE - -</v>
      </c>
      <c r="T90" s="201" t="str">
        <f t="shared" si="26"/>
        <v>- - DONE - -</v>
      </c>
      <c r="U90" s="202" t="str">
        <f t="shared" si="26"/>
        <v>- - DONE - -</v>
      </c>
      <c r="V90" s="203">
        <f t="shared" si="23"/>
        <v>1479.42</v>
      </c>
      <c r="W90" s="259">
        <f t="shared" si="24"/>
        <v>0.2099999999973079</v>
      </c>
      <c r="X90" s="334"/>
    </row>
    <row r="91" spans="1:29" s="195" customFormat="1" ht="14.25">
      <c r="A91" s="197">
        <v>8829.27</v>
      </c>
      <c r="B91" s="186"/>
      <c r="C91" s="196">
        <f t="shared" si="20"/>
        <v>105.14000000000124</v>
      </c>
      <c r="D91" s="443">
        <v>1051.130000000001</v>
      </c>
      <c r="E91" s="257"/>
      <c r="F91" s="258"/>
      <c r="G91" s="198">
        <f t="shared" si="21"/>
        <v>44499</v>
      </c>
      <c r="H91" s="199">
        <f t="shared" si="22"/>
        <v>105.11</v>
      </c>
      <c r="I91" s="204">
        <v>41944</v>
      </c>
      <c r="J91" s="201">
        <f t="shared" si="26"/>
        <v>105.11</v>
      </c>
      <c r="K91" s="201">
        <f t="shared" si="26"/>
        <v>105.11</v>
      </c>
      <c r="L91" s="201">
        <f t="shared" si="26"/>
        <v>105.11</v>
      </c>
      <c r="M91" s="201">
        <f t="shared" si="26"/>
        <v>105.11</v>
      </c>
      <c r="N91" s="201">
        <f t="shared" si="26"/>
        <v>105.11</v>
      </c>
      <c r="O91" s="201">
        <f t="shared" si="26"/>
        <v>105.11</v>
      </c>
      <c r="P91" s="201">
        <f t="shared" si="26"/>
        <v>105.11</v>
      </c>
      <c r="Q91" s="201">
        <f t="shared" si="26"/>
        <v>105.11</v>
      </c>
      <c r="R91" s="201">
        <f t="shared" si="26"/>
        <v>105.11</v>
      </c>
      <c r="S91" s="201">
        <f t="shared" si="26"/>
        <v>105.11</v>
      </c>
      <c r="T91" s="201" t="str">
        <f t="shared" si="26"/>
        <v>- - DONE - -</v>
      </c>
      <c r="U91" s="202" t="str">
        <f t="shared" si="26"/>
        <v>- - DONE - -</v>
      </c>
      <c r="V91" s="203">
        <f t="shared" si="23"/>
        <v>1051.0999999999999</v>
      </c>
      <c r="W91" s="259">
        <f t="shared" si="24"/>
        <v>3.0000000001109584E-2</v>
      </c>
      <c r="X91" s="334"/>
    </row>
    <row r="92" spans="1:29" s="195" customFormat="1" ht="14.25">
      <c r="A92" s="320">
        <v>18834.689999999999</v>
      </c>
      <c r="B92" s="321"/>
      <c r="C92" s="331">
        <f t="shared" si="20"/>
        <v>224.43000000000029</v>
      </c>
      <c r="D92" s="443">
        <v>2466.6300000000047</v>
      </c>
      <c r="E92" s="257"/>
      <c r="F92" s="258"/>
      <c r="G92" s="198">
        <f t="shared" si="21"/>
        <v>44529</v>
      </c>
      <c r="H92" s="199">
        <f t="shared" si="22"/>
        <v>224.22</v>
      </c>
      <c r="I92" s="204">
        <v>41974</v>
      </c>
      <c r="J92" s="201">
        <f t="shared" si="26"/>
        <v>224.22</v>
      </c>
      <c r="K92" s="201">
        <f t="shared" si="26"/>
        <v>224.22</v>
      </c>
      <c r="L92" s="201">
        <f t="shared" si="26"/>
        <v>224.22</v>
      </c>
      <c r="M92" s="201">
        <f t="shared" si="26"/>
        <v>224.22</v>
      </c>
      <c r="N92" s="201">
        <f t="shared" si="26"/>
        <v>224.22</v>
      </c>
      <c r="O92" s="201">
        <f t="shared" si="26"/>
        <v>224.22</v>
      </c>
      <c r="P92" s="201">
        <f t="shared" si="26"/>
        <v>224.22</v>
      </c>
      <c r="Q92" s="201">
        <f t="shared" si="26"/>
        <v>224.22</v>
      </c>
      <c r="R92" s="201">
        <f t="shared" si="26"/>
        <v>224.22</v>
      </c>
      <c r="S92" s="201">
        <f t="shared" si="26"/>
        <v>224.22</v>
      </c>
      <c r="T92" s="201">
        <f t="shared" si="26"/>
        <v>224.22</v>
      </c>
      <c r="U92" s="202" t="str">
        <f t="shared" si="26"/>
        <v>- - DONE - -</v>
      </c>
      <c r="V92" s="203">
        <f t="shared" si="23"/>
        <v>2466.4199999999996</v>
      </c>
      <c r="W92" s="259">
        <f t="shared" si="24"/>
        <v>0.2100000000050386</v>
      </c>
      <c r="X92" s="334"/>
    </row>
    <row r="93" spans="1:29" s="255" customFormat="1" ht="14.25">
      <c r="A93" s="197">
        <v>24571.45</v>
      </c>
      <c r="B93" s="186"/>
      <c r="C93" s="196">
        <f t="shared" si="20"/>
        <v>292.29000000000087</v>
      </c>
      <c r="D93" s="188">
        <v>3510.239999999998</v>
      </c>
      <c r="E93" s="252"/>
      <c r="F93" s="253"/>
      <c r="G93" s="189">
        <f t="shared" si="21"/>
        <v>44560</v>
      </c>
      <c r="H93" s="190">
        <f t="shared" si="22"/>
        <v>292.52</v>
      </c>
      <c r="I93" s="191">
        <v>42005</v>
      </c>
      <c r="J93" s="192">
        <f t="shared" si="26"/>
        <v>292.52</v>
      </c>
      <c r="K93" s="192">
        <f t="shared" si="26"/>
        <v>292.52</v>
      </c>
      <c r="L93" s="192">
        <f t="shared" si="26"/>
        <v>292.52</v>
      </c>
      <c r="M93" s="192">
        <f t="shared" si="26"/>
        <v>292.52</v>
      </c>
      <c r="N93" s="192">
        <f t="shared" si="26"/>
        <v>292.52</v>
      </c>
      <c r="O93" s="192">
        <f t="shared" si="26"/>
        <v>292.52</v>
      </c>
      <c r="P93" s="192">
        <f t="shared" si="26"/>
        <v>292.52</v>
      </c>
      <c r="Q93" s="192">
        <f t="shared" si="26"/>
        <v>292.52</v>
      </c>
      <c r="R93" s="192">
        <f t="shared" si="26"/>
        <v>292.52</v>
      </c>
      <c r="S93" s="192">
        <f t="shared" si="26"/>
        <v>292.52</v>
      </c>
      <c r="T93" s="192">
        <f t="shared" si="26"/>
        <v>292.52</v>
      </c>
      <c r="U93" s="193">
        <f t="shared" si="26"/>
        <v>292.52</v>
      </c>
      <c r="V93" s="194">
        <f t="shared" si="23"/>
        <v>3510.24</v>
      </c>
      <c r="W93" s="254">
        <f t="shared" si="24"/>
        <v>0</v>
      </c>
      <c r="X93" s="335"/>
      <c r="Y93" s="256"/>
      <c r="Z93" s="256"/>
      <c r="AA93" s="256"/>
      <c r="AB93" s="256"/>
      <c r="AC93" s="256"/>
    </row>
    <row r="94" spans="1:29" s="255" customFormat="1" ht="14.25">
      <c r="A94" s="197">
        <v>12609.380000000001</v>
      </c>
      <c r="B94" s="186"/>
      <c r="C94" s="196">
        <f t="shared" si="20"/>
        <v>150.25</v>
      </c>
      <c r="D94" s="197">
        <v>1951.4299999999967</v>
      </c>
      <c r="E94" s="257"/>
      <c r="F94" s="258"/>
      <c r="G94" s="198">
        <f t="shared" si="21"/>
        <v>44591</v>
      </c>
      <c r="H94" s="199">
        <f t="shared" si="22"/>
        <v>150.11000000000001</v>
      </c>
      <c r="I94" s="200">
        <v>42036</v>
      </c>
      <c r="J94" s="201">
        <f t="shared" si="26"/>
        <v>150.11000000000001</v>
      </c>
      <c r="K94" s="201">
        <f t="shared" si="26"/>
        <v>150.11000000000001</v>
      </c>
      <c r="L94" s="201">
        <f t="shared" si="26"/>
        <v>150.11000000000001</v>
      </c>
      <c r="M94" s="201">
        <f t="shared" si="26"/>
        <v>150.11000000000001</v>
      </c>
      <c r="N94" s="201">
        <f t="shared" si="26"/>
        <v>150.11000000000001</v>
      </c>
      <c r="O94" s="201">
        <f t="shared" si="26"/>
        <v>150.11000000000001</v>
      </c>
      <c r="P94" s="201">
        <f t="shared" si="26"/>
        <v>150.11000000000001</v>
      </c>
      <c r="Q94" s="201">
        <f t="shared" si="26"/>
        <v>150.11000000000001</v>
      </c>
      <c r="R94" s="201">
        <f t="shared" si="26"/>
        <v>150.11000000000001</v>
      </c>
      <c r="S94" s="201">
        <f t="shared" si="26"/>
        <v>150.11000000000001</v>
      </c>
      <c r="T94" s="201">
        <f t="shared" si="26"/>
        <v>150.11000000000001</v>
      </c>
      <c r="U94" s="202">
        <f t="shared" si="26"/>
        <v>150.11000000000001</v>
      </c>
      <c r="V94" s="203">
        <f t="shared" si="23"/>
        <v>1801.3200000000006</v>
      </c>
      <c r="W94" s="259">
        <f t="shared" si="24"/>
        <v>150.10999999999603</v>
      </c>
      <c r="X94" s="335"/>
      <c r="Y94" s="256"/>
      <c r="Z94" s="256"/>
      <c r="AA94" s="256"/>
      <c r="AB94" s="256"/>
      <c r="AC94" s="256"/>
    </row>
    <row r="95" spans="1:29" s="255" customFormat="1" ht="14.25">
      <c r="A95" s="197">
        <v>8119.57</v>
      </c>
      <c r="B95" s="186"/>
      <c r="C95" s="196">
        <f t="shared" si="20"/>
        <v>96.789999999999964</v>
      </c>
      <c r="D95" s="258">
        <v>1353.3700000000001</v>
      </c>
      <c r="E95" s="257"/>
      <c r="F95" s="258"/>
      <c r="G95" s="198">
        <f t="shared" si="21"/>
        <v>44619</v>
      </c>
      <c r="H95" s="199">
        <f t="shared" si="22"/>
        <v>96.66</v>
      </c>
      <c r="I95" s="204">
        <v>42064</v>
      </c>
      <c r="J95" s="201">
        <f t="shared" si="26"/>
        <v>96.66</v>
      </c>
      <c r="K95" s="201">
        <f t="shared" si="26"/>
        <v>96.66</v>
      </c>
      <c r="L95" s="201">
        <f t="shared" si="26"/>
        <v>96.66</v>
      </c>
      <c r="M95" s="201">
        <f t="shared" si="26"/>
        <v>96.66</v>
      </c>
      <c r="N95" s="201">
        <f t="shared" si="26"/>
        <v>96.66</v>
      </c>
      <c r="O95" s="201">
        <f t="shared" si="26"/>
        <v>96.66</v>
      </c>
      <c r="P95" s="201">
        <f t="shared" si="26"/>
        <v>96.66</v>
      </c>
      <c r="Q95" s="201">
        <f t="shared" si="26"/>
        <v>96.66</v>
      </c>
      <c r="R95" s="201">
        <f t="shared" si="26"/>
        <v>96.66</v>
      </c>
      <c r="S95" s="201">
        <f t="shared" si="26"/>
        <v>96.66</v>
      </c>
      <c r="T95" s="201">
        <f t="shared" si="26"/>
        <v>96.66</v>
      </c>
      <c r="U95" s="202">
        <f t="shared" si="26"/>
        <v>96.66</v>
      </c>
      <c r="V95" s="203">
        <f t="shared" si="23"/>
        <v>1159.9199999999998</v>
      </c>
      <c r="W95" s="259">
        <f t="shared" si="24"/>
        <v>193.45000000000027</v>
      </c>
      <c r="X95" s="334"/>
    </row>
    <row r="96" spans="1:29" s="255" customFormat="1" ht="14.25">
      <c r="A96" s="197">
        <v>19017.210000000003</v>
      </c>
      <c r="B96" s="186"/>
      <c r="C96" s="196">
        <f t="shared" si="20"/>
        <v>226.01000000000204</v>
      </c>
      <c r="D96" s="258">
        <v>3395.6099999999956</v>
      </c>
      <c r="E96" s="257"/>
      <c r="F96" s="258"/>
      <c r="G96" s="198">
        <f t="shared" si="21"/>
        <v>44650</v>
      </c>
      <c r="H96" s="199">
        <f t="shared" si="22"/>
        <v>226.4</v>
      </c>
      <c r="I96" s="204">
        <v>42095</v>
      </c>
      <c r="J96" s="201">
        <f t="shared" si="26"/>
        <v>226.4</v>
      </c>
      <c r="K96" s="201">
        <f t="shared" si="26"/>
        <v>226.4</v>
      </c>
      <c r="L96" s="201">
        <f t="shared" si="26"/>
        <v>226.4</v>
      </c>
      <c r="M96" s="201">
        <f t="shared" si="26"/>
        <v>226.4</v>
      </c>
      <c r="N96" s="201">
        <f t="shared" si="26"/>
        <v>226.4</v>
      </c>
      <c r="O96" s="201">
        <f t="shared" si="26"/>
        <v>226.4</v>
      </c>
      <c r="P96" s="201">
        <f t="shared" si="26"/>
        <v>226.4</v>
      </c>
      <c r="Q96" s="201">
        <f t="shared" si="26"/>
        <v>226.4</v>
      </c>
      <c r="R96" s="201">
        <f t="shared" si="26"/>
        <v>226.4</v>
      </c>
      <c r="S96" s="201">
        <f t="shared" si="26"/>
        <v>226.4</v>
      </c>
      <c r="T96" s="201">
        <f t="shared" si="26"/>
        <v>226.4</v>
      </c>
      <c r="U96" s="202">
        <f t="shared" si="26"/>
        <v>226.4</v>
      </c>
      <c r="V96" s="203">
        <f t="shared" si="23"/>
        <v>2716.8000000000006</v>
      </c>
      <c r="W96" s="259">
        <f t="shared" si="24"/>
        <v>678.80999999999494</v>
      </c>
      <c r="X96" s="334"/>
    </row>
    <row r="97" spans="1:24" s="255" customFormat="1" ht="14.25">
      <c r="A97" s="197">
        <v>12254.15</v>
      </c>
      <c r="B97" s="186"/>
      <c r="C97" s="196">
        <f t="shared" si="20"/>
        <v>146.11000000000058</v>
      </c>
      <c r="D97" s="258">
        <v>2334.3099999999977</v>
      </c>
      <c r="E97" s="257"/>
      <c r="F97" s="258"/>
      <c r="G97" s="198">
        <f t="shared" si="21"/>
        <v>44680</v>
      </c>
      <c r="H97" s="199">
        <f t="shared" si="22"/>
        <v>145.88</v>
      </c>
      <c r="I97" s="204">
        <v>42125</v>
      </c>
      <c r="J97" s="201">
        <f t="shared" si="26"/>
        <v>145.88</v>
      </c>
      <c r="K97" s="201">
        <f t="shared" si="26"/>
        <v>145.88</v>
      </c>
      <c r="L97" s="201">
        <f t="shared" si="26"/>
        <v>145.88</v>
      </c>
      <c r="M97" s="201">
        <f t="shared" si="26"/>
        <v>145.88</v>
      </c>
      <c r="N97" s="201">
        <f t="shared" si="26"/>
        <v>145.88</v>
      </c>
      <c r="O97" s="201">
        <f t="shared" si="26"/>
        <v>145.88</v>
      </c>
      <c r="P97" s="201">
        <f t="shared" si="26"/>
        <v>145.88</v>
      </c>
      <c r="Q97" s="201">
        <f t="shared" si="26"/>
        <v>145.88</v>
      </c>
      <c r="R97" s="201">
        <f t="shared" si="26"/>
        <v>145.88</v>
      </c>
      <c r="S97" s="201">
        <f t="shared" si="26"/>
        <v>145.88</v>
      </c>
      <c r="T97" s="201">
        <f t="shared" si="26"/>
        <v>145.88</v>
      </c>
      <c r="U97" s="202">
        <f t="shared" si="26"/>
        <v>145.88</v>
      </c>
      <c r="V97" s="203">
        <f t="shared" si="23"/>
        <v>1750.5600000000004</v>
      </c>
      <c r="W97" s="259">
        <f t="shared" si="24"/>
        <v>583.74999999999727</v>
      </c>
      <c r="X97" s="334"/>
    </row>
    <row r="98" spans="1:24" s="255" customFormat="1" ht="14.25">
      <c r="A98" s="197">
        <v>8271.2900000000009</v>
      </c>
      <c r="B98" s="186"/>
      <c r="C98" s="196">
        <f t="shared" si="20"/>
        <v>98.280000000000655</v>
      </c>
      <c r="D98" s="258">
        <v>1673.7999999999995</v>
      </c>
      <c r="E98" s="257"/>
      <c r="F98" s="258"/>
      <c r="G98" s="198">
        <f t="shared" si="21"/>
        <v>44711</v>
      </c>
      <c r="H98" s="199">
        <f t="shared" si="22"/>
        <v>98.47</v>
      </c>
      <c r="I98" s="204">
        <v>42156</v>
      </c>
      <c r="J98" s="201">
        <f t="shared" si="26"/>
        <v>98.47</v>
      </c>
      <c r="K98" s="201">
        <f t="shared" si="26"/>
        <v>98.47</v>
      </c>
      <c r="L98" s="201">
        <f t="shared" si="26"/>
        <v>98.47</v>
      </c>
      <c r="M98" s="201">
        <f t="shared" si="26"/>
        <v>98.47</v>
      </c>
      <c r="N98" s="201">
        <f t="shared" si="26"/>
        <v>98.47</v>
      </c>
      <c r="O98" s="201">
        <f t="shared" si="26"/>
        <v>98.47</v>
      </c>
      <c r="P98" s="201">
        <f t="shared" si="26"/>
        <v>98.47</v>
      </c>
      <c r="Q98" s="201">
        <f t="shared" si="26"/>
        <v>98.47</v>
      </c>
      <c r="R98" s="201">
        <f t="shared" si="26"/>
        <v>98.47</v>
      </c>
      <c r="S98" s="201">
        <f t="shared" si="26"/>
        <v>98.47</v>
      </c>
      <c r="T98" s="201">
        <f t="shared" si="26"/>
        <v>98.47</v>
      </c>
      <c r="U98" s="202">
        <f t="shared" si="26"/>
        <v>98.47</v>
      </c>
      <c r="V98" s="203">
        <f t="shared" si="23"/>
        <v>1181.6400000000001</v>
      </c>
      <c r="W98" s="259">
        <f t="shared" si="24"/>
        <v>492.1599999999994</v>
      </c>
      <c r="X98" s="334"/>
    </row>
    <row r="99" spans="1:24" s="255" customFormat="1" ht="14.25">
      <c r="A99" s="197">
        <v>18418.13</v>
      </c>
      <c r="B99" s="186"/>
      <c r="C99" s="196">
        <f t="shared" si="20"/>
        <v>219.55000000000291</v>
      </c>
      <c r="D99" s="258">
        <v>3946.970000000003</v>
      </c>
      <c r="E99" s="257"/>
      <c r="F99" s="258"/>
      <c r="G99" s="198">
        <f t="shared" si="21"/>
        <v>44741</v>
      </c>
      <c r="H99" s="199">
        <f t="shared" si="22"/>
        <v>219.26</v>
      </c>
      <c r="I99" s="204">
        <v>42186</v>
      </c>
      <c r="J99" s="201">
        <f t="shared" ref="J99:U104" si="27">IF(J$7&lt;$I99,"",IF(J$7=$I99,+$C99,IF(J$7&lt;=$G99,+(ROUND(($A99-$C99)/83,2)),"- - DONE - -")))</f>
        <v>219.26</v>
      </c>
      <c r="K99" s="201">
        <f t="shared" si="27"/>
        <v>219.26</v>
      </c>
      <c r="L99" s="201">
        <f t="shared" si="27"/>
        <v>219.26</v>
      </c>
      <c r="M99" s="201">
        <f t="shared" si="27"/>
        <v>219.26</v>
      </c>
      <c r="N99" s="201">
        <f t="shared" si="27"/>
        <v>219.26</v>
      </c>
      <c r="O99" s="201">
        <f t="shared" si="27"/>
        <v>219.26</v>
      </c>
      <c r="P99" s="201">
        <f t="shared" si="27"/>
        <v>219.26</v>
      </c>
      <c r="Q99" s="201">
        <f t="shared" si="27"/>
        <v>219.26</v>
      </c>
      <c r="R99" s="201">
        <f t="shared" si="27"/>
        <v>219.26</v>
      </c>
      <c r="S99" s="201">
        <f t="shared" si="27"/>
        <v>219.26</v>
      </c>
      <c r="T99" s="201">
        <f t="shared" si="27"/>
        <v>219.26</v>
      </c>
      <c r="U99" s="202">
        <f t="shared" si="27"/>
        <v>219.26</v>
      </c>
      <c r="V99" s="203">
        <f t="shared" si="23"/>
        <v>2631.12</v>
      </c>
      <c r="W99" s="259">
        <f t="shared" si="24"/>
        <v>1315.8500000000031</v>
      </c>
      <c r="X99" s="334"/>
    </row>
    <row r="100" spans="1:24" s="255" customFormat="1" ht="14.25">
      <c r="A100" s="197">
        <v>20364.740000000002</v>
      </c>
      <c r="B100" s="186"/>
      <c r="C100" s="196">
        <f t="shared" si="20"/>
        <v>242.22000000000116</v>
      </c>
      <c r="D100" s="258">
        <v>4606.1399999999976</v>
      </c>
      <c r="E100" s="257"/>
      <c r="F100" s="258"/>
      <c r="G100" s="198">
        <f t="shared" si="21"/>
        <v>44772</v>
      </c>
      <c r="H100" s="199">
        <f t="shared" si="22"/>
        <v>242.44</v>
      </c>
      <c r="I100" s="204">
        <v>42217</v>
      </c>
      <c r="J100" s="201">
        <f t="shared" si="27"/>
        <v>242.44</v>
      </c>
      <c r="K100" s="201">
        <f t="shared" si="27"/>
        <v>242.44</v>
      </c>
      <c r="L100" s="201">
        <f t="shared" si="27"/>
        <v>242.44</v>
      </c>
      <c r="M100" s="201">
        <f t="shared" si="27"/>
        <v>242.44</v>
      </c>
      <c r="N100" s="201">
        <f t="shared" si="27"/>
        <v>242.44</v>
      </c>
      <c r="O100" s="201">
        <f t="shared" si="27"/>
        <v>242.44</v>
      </c>
      <c r="P100" s="201">
        <f t="shared" si="27"/>
        <v>242.44</v>
      </c>
      <c r="Q100" s="201">
        <f t="shared" si="27"/>
        <v>242.44</v>
      </c>
      <c r="R100" s="201">
        <f t="shared" si="27"/>
        <v>242.44</v>
      </c>
      <c r="S100" s="201">
        <f t="shared" si="27"/>
        <v>242.44</v>
      </c>
      <c r="T100" s="201">
        <f t="shared" si="27"/>
        <v>242.44</v>
      </c>
      <c r="U100" s="202">
        <f t="shared" si="27"/>
        <v>242.44</v>
      </c>
      <c r="V100" s="203">
        <f t="shared" si="23"/>
        <v>2909.28</v>
      </c>
      <c r="W100" s="259">
        <f t="shared" si="24"/>
        <v>1696.8599999999974</v>
      </c>
      <c r="X100" s="334"/>
    </row>
    <row r="101" spans="1:24" s="255" customFormat="1" ht="14.25">
      <c r="A101" s="197">
        <v>6497.41</v>
      </c>
      <c r="B101" s="186"/>
      <c r="C101" s="196">
        <f t="shared" si="20"/>
        <v>77.360000000000582</v>
      </c>
      <c r="D101" s="258">
        <v>1547.0099999999998</v>
      </c>
      <c r="E101" s="257"/>
      <c r="F101" s="258"/>
      <c r="G101" s="198">
        <f t="shared" si="21"/>
        <v>44803</v>
      </c>
      <c r="H101" s="199">
        <f t="shared" si="22"/>
        <v>77.349999999999994</v>
      </c>
      <c r="I101" s="204">
        <v>42248</v>
      </c>
      <c r="J101" s="201">
        <f t="shared" si="27"/>
        <v>77.349999999999994</v>
      </c>
      <c r="K101" s="201">
        <f t="shared" si="27"/>
        <v>77.349999999999994</v>
      </c>
      <c r="L101" s="201">
        <f t="shared" si="27"/>
        <v>77.349999999999994</v>
      </c>
      <c r="M101" s="201">
        <f t="shared" si="27"/>
        <v>77.349999999999994</v>
      </c>
      <c r="N101" s="201">
        <f t="shared" si="27"/>
        <v>77.349999999999994</v>
      </c>
      <c r="O101" s="201">
        <f t="shared" si="27"/>
        <v>77.349999999999994</v>
      </c>
      <c r="P101" s="201">
        <f t="shared" si="27"/>
        <v>77.349999999999994</v>
      </c>
      <c r="Q101" s="201">
        <f t="shared" si="27"/>
        <v>77.349999999999994</v>
      </c>
      <c r="R101" s="201">
        <f t="shared" si="27"/>
        <v>77.349999999999994</v>
      </c>
      <c r="S101" s="201">
        <f t="shared" si="27"/>
        <v>77.349999999999994</v>
      </c>
      <c r="T101" s="201">
        <f t="shared" si="27"/>
        <v>77.349999999999994</v>
      </c>
      <c r="U101" s="202">
        <f t="shared" si="27"/>
        <v>77.349999999999994</v>
      </c>
      <c r="V101" s="203">
        <f t="shared" si="23"/>
        <v>928.20000000000016</v>
      </c>
      <c r="W101" s="259">
        <f t="shared" si="24"/>
        <v>618.8099999999996</v>
      </c>
      <c r="X101" s="334"/>
    </row>
    <row r="102" spans="1:24" s="255" customFormat="1" ht="14.25">
      <c r="A102" s="197">
        <v>15082.099999999999</v>
      </c>
      <c r="B102" s="186"/>
      <c r="C102" s="196">
        <f t="shared" si="20"/>
        <v>179.44999999999709</v>
      </c>
      <c r="D102" s="258">
        <v>3770.4499999999975</v>
      </c>
      <c r="E102" s="257"/>
      <c r="F102" s="258"/>
      <c r="G102" s="198">
        <f t="shared" si="21"/>
        <v>44833</v>
      </c>
      <c r="H102" s="199">
        <f t="shared" si="22"/>
        <v>179.55</v>
      </c>
      <c r="I102" s="204">
        <v>42278</v>
      </c>
      <c r="J102" s="201">
        <f t="shared" si="27"/>
        <v>179.55</v>
      </c>
      <c r="K102" s="201">
        <f t="shared" si="27"/>
        <v>179.55</v>
      </c>
      <c r="L102" s="201">
        <f t="shared" si="27"/>
        <v>179.55</v>
      </c>
      <c r="M102" s="201">
        <f t="shared" si="27"/>
        <v>179.55</v>
      </c>
      <c r="N102" s="201">
        <f t="shared" si="27"/>
        <v>179.55</v>
      </c>
      <c r="O102" s="201">
        <f t="shared" si="27"/>
        <v>179.55</v>
      </c>
      <c r="P102" s="201">
        <f t="shared" si="27"/>
        <v>179.55</v>
      </c>
      <c r="Q102" s="201">
        <f t="shared" si="27"/>
        <v>179.55</v>
      </c>
      <c r="R102" s="201">
        <f t="shared" si="27"/>
        <v>179.55</v>
      </c>
      <c r="S102" s="201">
        <f t="shared" si="27"/>
        <v>179.55</v>
      </c>
      <c r="T102" s="201">
        <f t="shared" si="27"/>
        <v>179.55</v>
      </c>
      <c r="U102" s="202">
        <f t="shared" si="27"/>
        <v>179.55</v>
      </c>
      <c r="V102" s="203">
        <f t="shared" si="23"/>
        <v>2154.6</v>
      </c>
      <c r="W102" s="259">
        <f t="shared" si="24"/>
        <v>1615.8499999999976</v>
      </c>
      <c r="X102" s="334"/>
    </row>
    <row r="103" spans="1:24" s="255" customFormat="1" ht="14.25">
      <c r="A103" s="197">
        <v>13626.05</v>
      </c>
      <c r="B103" s="186"/>
      <c r="C103" s="196">
        <f t="shared" si="20"/>
        <v>162.61999999999898</v>
      </c>
      <c r="D103" s="258">
        <v>3569.029999999997</v>
      </c>
      <c r="E103" s="257"/>
      <c r="F103" s="258"/>
      <c r="G103" s="198">
        <f t="shared" si="21"/>
        <v>44864</v>
      </c>
      <c r="H103" s="199">
        <f t="shared" si="22"/>
        <v>162.21</v>
      </c>
      <c r="I103" s="204">
        <v>42309</v>
      </c>
      <c r="J103" s="201">
        <f t="shared" si="27"/>
        <v>162.21</v>
      </c>
      <c r="K103" s="201">
        <f t="shared" si="27"/>
        <v>162.21</v>
      </c>
      <c r="L103" s="201">
        <f t="shared" si="27"/>
        <v>162.21</v>
      </c>
      <c r="M103" s="201">
        <f t="shared" si="27"/>
        <v>162.21</v>
      </c>
      <c r="N103" s="201">
        <f t="shared" si="27"/>
        <v>162.21</v>
      </c>
      <c r="O103" s="201">
        <f t="shared" si="27"/>
        <v>162.21</v>
      </c>
      <c r="P103" s="201">
        <f t="shared" si="27"/>
        <v>162.21</v>
      </c>
      <c r="Q103" s="201">
        <f t="shared" si="27"/>
        <v>162.21</v>
      </c>
      <c r="R103" s="201">
        <f t="shared" si="27"/>
        <v>162.21</v>
      </c>
      <c r="S103" s="201">
        <f t="shared" si="27"/>
        <v>162.21</v>
      </c>
      <c r="T103" s="201">
        <f t="shared" si="27"/>
        <v>162.21</v>
      </c>
      <c r="U103" s="202">
        <f t="shared" si="27"/>
        <v>162.21</v>
      </c>
      <c r="V103" s="203">
        <f t="shared" si="23"/>
        <v>1946.5200000000002</v>
      </c>
      <c r="W103" s="259">
        <f t="shared" si="24"/>
        <v>1622.5099999999968</v>
      </c>
      <c r="X103" s="334"/>
    </row>
    <row r="104" spans="1:24" s="255" customFormat="1" ht="14.25">
      <c r="A104" s="320">
        <v>28080.149999999998</v>
      </c>
      <c r="B104" s="321"/>
      <c r="C104" s="331">
        <f t="shared" si="20"/>
        <v>334.07999999999447</v>
      </c>
      <c r="D104" s="322">
        <v>7688.4599999999991</v>
      </c>
      <c r="E104" s="323"/>
      <c r="F104" s="322"/>
      <c r="G104" s="324">
        <f t="shared" si="21"/>
        <v>44894</v>
      </c>
      <c r="H104" s="325">
        <f t="shared" si="22"/>
        <v>334.29</v>
      </c>
      <c r="I104" s="326">
        <v>42339</v>
      </c>
      <c r="J104" s="327">
        <f t="shared" si="27"/>
        <v>334.29</v>
      </c>
      <c r="K104" s="327">
        <f t="shared" si="27"/>
        <v>334.29</v>
      </c>
      <c r="L104" s="327">
        <f t="shared" si="27"/>
        <v>334.29</v>
      </c>
      <c r="M104" s="327">
        <f t="shared" si="27"/>
        <v>334.29</v>
      </c>
      <c r="N104" s="327">
        <f t="shared" si="27"/>
        <v>334.29</v>
      </c>
      <c r="O104" s="327">
        <f t="shared" si="27"/>
        <v>334.29</v>
      </c>
      <c r="P104" s="327">
        <f t="shared" si="27"/>
        <v>334.29</v>
      </c>
      <c r="Q104" s="327">
        <f t="shared" si="27"/>
        <v>334.29</v>
      </c>
      <c r="R104" s="327">
        <f t="shared" si="27"/>
        <v>334.29</v>
      </c>
      <c r="S104" s="327">
        <f t="shared" si="27"/>
        <v>334.29</v>
      </c>
      <c r="T104" s="327">
        <f t="shared" si="27"/>
        <v>334.29</v>
      </c>
      <c r="U104" s="328">
        <f t="shared" si="27"/>
        <v>334.29</v>
      </c>
      <c r="V104" s="329">
        <f t="shared" si="23"/>
        <v>4011.48</v>
      </c>
      <c r="W104" s="330">
        <f t="shared" si="24"/>
        <v>3676.9799999999991</v>
      </c>
      <c r="X104" s="334"/>
    </row>
    <row r="105" spans="1:24" s="255" customFormat="1" ht="14.25">
      <c r="A105" s="197">
        <v>4051.1999999999994</v>
      </c>
      <c r="B105" s="186"/>
      <c r="C105" s="196">
        <f t="shared" ref="C105:C136" si="28">+A105-ROUND(A105/84,2)*83</f>
        <v>48.109999999999673</v>
      </c>
      <c r="D105" s="258">
        <v>1157.3999999999983</v>
      </c>
      <c r="E105" s="257"/>
      <c r="F105" s="258"/>
      <c r="G105" s="198">
        <v>44926</v>
      </c>
      <c r="H105" s="199">
        <f t="shared" ref="H105:H136" si="29">+ROUND((+A105-C105)/83,2)</f>
        <v>48.23</v>
      </c>
      <c r="I105" s="204">
        <v>42370</v>
      </c>
      <c r="J105" s="332">
        <v>48.23</v>
      </c>
      <c r="K105" s="332">
        <f t="shared" ref="K105:U107" si="30">IF(K$7&lt;$I105,"",IF(K$7=$I105,+$C105,IF(K$7&lt;=$G105,+(ROUND(($A105-$C105)/83,2)),"- - DONE - -")))</f>
        <v>48.23</v>
      </c>
      <c r="L105" s="201">
        <f t="shared" si="30"/>
        <v>48.23</v>
      </c>
      <c r="M105" s="201">
        <f t="shared" si="30"/>
        <v>48.23</v>
      </c>
      <c r="N105" s="201">
        <f t="shared" si="30"/>
        <v>48.23</v>
      </c>
      <c r="O105" s="201">
        <f t="shared" si="30"/>
        <v>48.23</v>
      </c>
      <c r="P105" s="201">
        <f t="shared" si="30"/>
        <v>48.23</v>
      </c>
      <c r="Q105" s="201">
        <f t="shared" si="30"/>
        <v>48.23</v>
      </c>
      <c r="R105" s="201">
        <f t="shared" si="30"/>
        <v>48.23</v>
      </c>
      <c r="S105" s="201">
        <f t="shared" si="30"/>
        <v>48.23</v>
      </c>
      <c r="T105" s="201">
        <f t="shared" si="30"/>
        <v>48.23</v>
      </c>
      <c r="U105" s="202">
        <f t="shared" si="30"/>
        <v>48.23</v>
      </c>
      <c r="V105" s="203">
        <f t="shared" ref="V105:V136" si="31">SUM(J105:U105)</f>
        <v>578.7600000000001</v>
      </c>
      <c r="W105" s="259">
        <f t="shared" ref="W105:W136" si="32">D105-V105</f>
        <v>578.63999999999817</v>
      </c>
      <c r="X105" s="334"/>
    </row>
    <row r="106" spans="1:24" s="255" customFormat="1" ht="14.25">
      <c r="A106" s="197">
        <v>17236.8</v>
      </c>
      <c r="B106" s="186"/>
      <c r="C106" s="196">
        <f t="shared" si="28"/>
        <v>205.20000000000073</v>
      </c>
      <c r="D106" s="258">
        <v>5130</v>
      </c>
      <c r="E106" s="257"/>
      <c r="F106" s="258"/>
      <c r="G106" s="198">
        <v>44957</v>
      </c>
      <c r="H106" s="199">
        <f t="shared" si="29"/>
        <v>205.2</v>
      </c>
      <c r="I106" s="204">
        <v>42401</v>
      </c>
      <c r="J106" s="201">
        <f t="shared" ref="J106:J137" si="33">IF(J$7&lt;$I106,"",IF(J$7=$I106,+$C106,IF(J$7&lt;=$G106,+(ROUND(($A106-$C106)/83,2)),"- - DONE - -")))</f>
        <v>205.2</v>
      </c>
      <c r="K106" s="201">
        <f t="shared" si="30"/>
        <v>205.2</v>
      </c>
      <c r="L106" s="201">
        <f t="shared" si="30"/>
        <v>205.2</v>
      </c>
      <c r="M106" s="201">
        <f t="shared" si="30"/>
        <v>205.2</v>
      </c>
      <c r="N106" s="201">
        <f t="shared" si="30"/>
        <v>205.2</v>
      </c>
      <c r="O106" s="201">
        <f t="shared" si="30"/>
        <v>205.2</v>
      </c>
      <c r="P106" s="201">
        <f t="shared" si="30"/>
        <v>205.2</v>
      </c>
      <c r="Q106" s="201">
        <f t="shared" si="30"/>
        <v>205.2</v>
      </c>
      <c r="R106" s="201">
        <f t="shared" si="30"/>
        <v>205.2</v>
      </c>
      <c r="S106" s="201">
        <f t="shared" si="30"/>
        <v>205.2</v>
      </c>
      <c r="T106" s="201">
        <f t="shared" si="30"/>
        <v>205.2</v>
      </c>
      <c r="U106" s="202">
        <f t="shared" si="30"/>
        <v>205.2</v>
      </c>
      <c r="V106" s="203">
        <f t="shared" si="31"/>
        <v>2462.3999999999996</v>
      </c>
      <c r="W106" s="259">
        <f t="shared" si="32"/>
        <v>2667.6000000000004</v>
      </c>
      <c r="X106" s="334"/>
    </row>
    <row r="107" spans="1:24" s="255" customFormat="1" ht="14.25">
      <c r="A107" s="197">
        <v>12711.07</v>
      </c>
      <c r="B107" s="186"/>
      <c r="C107" s="196">
        <f t="shared" si="28"/>
        <v>151.51000000000022</v>
      </c>
      <c r="D107" s="258">
        <v>3934.5100000000029</v>
      </c>
      <c r="E107" s="257"/>
      <c r="F107" s="258"/>
      <c r="G107" s="198">
        <v>44985</v>
      </c>
      <c r="H107" s="199">
        <f t="shared" si="29"/>
        <v>151.32</v>
      </c>
      <c r="I107" s="204">
        <v>42430</v>
      </c>
      <c r="J107" s="201">
        <f t="shared" si="33"/>
        <v>151.32</v>
      </c>
      <c r="K107" s="201">
        <f t="shared" si="30"/>
        <v>151.32</v>
      </c>
      <c r="L107" s="201">
        <f t="shared" si="30"/>
        <v>151.32</v>
      </c>
      <c r="M107" s="201">
        <f t="shared" si="30"/>
        <v>151.32</v>
      </c>
      <c r="N107" s="201">
        <f t="shared" si="30"/>
        <v>151.32</v>
      </c>
      <c r="O107" s="201">
        <f t="shared" si="30"/>
        <v>151.32</v>
      </c>
      <c r="P107" s="201">
        <f t="shared" si="30"/>
        <v>151.32</v>
      </c>
      <c r="Q107" s="201">
        <f t="shared" si="30"/>
        <v>151.32</v>
      </c>
      <c r="R107" s="201">
        <f t="shared" si="30"/>
        <v>151.32</v>
      </c>
      <c r="S107" s="201">
        <f t="shared" si="30"/>
        <v>151.32</v>
      </c>
      <c r="T107" s="201">
        <f t="shared" si="30"/>
        <v>151.32</v>
      </c>
      <c r="U107" s="202">
        <f t="shared" si="30"/>
        <v>151.32</v>
      </c>
      <c r="V107" s="203">
        <f t="shared" si="31"/>
        <v>1815.8399999999995</v>
      </c>
      <c r="W107" s="259">
        <f t="shared" si="32"/>
        <v>2118.6700000000037</v>
      </c>
      <c r="X107" s="334"/>
    </row>
    <row r="108" spans="1:24" s="255" customFormat="1" ht="14.25">
      <c r="A108" s="197">
        <v>13176.960000000001</v>
      </c>
      <c r="B108" s="186"/>
      <c r="C108" s="196">
        <f t="shared" si="28"/>
        <v>156.75</v>
      </c>
      <c r="D108" s="258">
        <v>5019.7200000000012</v>
      </c>
      <c r="E108" s="257"/>
      <c r="F108" s="258"/>
      <c r="G108" s="198">
        <v>45016</v>
      </c>
      <c r="H108" s="199">
        <f t="shared" si="29"/>
        <v>156.87</v>
      </c>
      <c r="I108" s="204">
        <v>42461</v>
      </c>
      <c r="J108" s="201">
        <f t="shared" si="33"/>
        <v>156.87</v>
      </c>
      <c r="K108" s="201">
        <f t="shared" ref="K108:L127" si="34">IF(K$7&lt;$I108,"",IF(K$7=$I108,+$C108,IF(K$7&lt;=$G108,+(ROUND(($A108-$C108)/83,2)),"- - DONE - -")))</f>
        <v>156.87</v>
      </c>
      <c r="L108" s="201">
        <f t="shared" si="34"/>
        <v>156.87</v>
      </c>
      <c r="M108" s="201"/>
      <c r="N108" s="201">
        <f t="shared" ref="N108:U117" si="35">IF(N$7&lt;$I108,"",IF(N$7=$I108,+$C108,IF(N$7&lt;=$G108,+(ROUND(($A108-$C108)/83,2)),"- - DONE - -")))</f>
        <v>156.87</v>
      </c>
      <c r="O108" s="201">
        <f t="shared" si="35"/>
        <v>156.87</v>
      </c>
      <c r="P108" s="201">
        <f t="shared" si="35"/>
        <v>156.87</v>
      </c>
      <c r="Q108" s="201">
        <f t="shared" si="35"/>
        <v>156.87</v>
      </c>
      <c r="R108" s="201">
        <f t="shared" si="35"/>
        <v>156.87</v>
      </c>
      <c r="S108" s="201">
        <f t="shared" si="35"/>
        <v>156.87</v>
      </c>
      <c r="T108" s="201">
        <f t="shared" si="35"/>
        <v>156.87</v>
      </c>
      <c r="U108" s="202">
        <f t="shared" si="35"/>
        <v>156.87</v>
      </c>
      <c r="V108" s="203">
        <f t="shared" si="31"/>
        <v>1725.5699999999997</v>
      </c>
      <c r="W108" s="259">
        <f t="shared" si="32"/>
        <v>3294.1500000000015</v>
      </c>
      <c r="X108" s="334"/>
    </row>
    <row r="109" spans="1:24" s="255" customFormat="1" ht="14.25">
      <c r="A109" s="197">
        <v>6624.0600000000013</v>
      </c>
      <c r="B109" s="186"/>
      <c r="C109" s="196">
        <f t="shared" si="28"/>
        <v>78.680000000001201</v>
      </c>
      <c r="D109" s="258">
        <v>2207.9000000000015</v>
      </c>
      <c r="E109" s="257"/>
      <c r="F109" s="258"/>
      <c r="G109" s="198">
        <v>45046</v>
      </c>
      <c r="H109" s="199">
        <f t="shared" si="29"/>
        <v>78.86</v>
      </c>
      <c r="I109" s="204">
        <v>42491</v>
      </c>
      <c r="J109" s="201">
        <f t="shared" si="33"/>
        <v>78.86</v>
      </c>
      <c r="K109" s="201">
        <f t="shared" si="34"/>
        <v>78.86</v>
      </c>
      <c r="L109" s="201">
        <f t="shared" si="34"/>
        <v>78.86</v>
      </c>
      <c r="M109" s="201">
        <f t="shared" ref="M109:M131" si="36">IF(M$7&lt;$I109,"",IF(M$7=$I109,+$C109,IF(M$7&lt;=$G109,+(ROUND(($A109-$C109)/83,2)),"- - DONE - -")))</f>
        <v>78.86</v>
      </c>
      <c r="N109" s="201">
        <f t="shared" si="35"/>
        <v>78.86</v>
      </c>
      <c r="O109" s="201">
        <f t="shared" si="35"/>
        <v>78.86</v>
      </c>
      <c r="P109" s="201">
        <f t="shared" si="35"/>
        <v>78.86</v>
      </c>
      <c r="Q109" s="201">
        <f t="shared" si="35"/>
        <v>78.86</v>
      </c>
      <c r="R109" s="201">
        <f t="shared" si="35"/>
        <v>78.86</v>
      </c>
      <c r="S109" s="201">
        <f t="shared" si="35"/>
        <v>78.86</v>
      </c>
      <c r="T109" s="201">
        <f t="shared" si="35"/>
        <v>78.86</v>
      </c>
      <c r="U109" s="202">
        <f t="shared" si="35"/>
        <v>78.86</v>
      </c>
      <c r="V109" s="203">
        <f t="shared" si="31"/>
        <v>946.32</v>
      </c>
      <c r="W109" s="259">
        <f t="shared" si="32"/>
        <v>1261.5800000000013</v>
      </c>
      <c r="X109" s="334"/>
    </row>
    <row r="110" spans="1:24" s="255" customFormat="1" ht="14.25">
      <c r="A110" s="197">
        <v>11021.439999999999</v>
      </c>
      <c r="B110" s="186"/>
      <c r="C110" s="196">
        <f t="shared" si="28"/>
        <v>131.0099999999984</v>
      </c>
      <c r="D110" s="258">
        <v>3804.8899999999976</v>
      </c>
      <c r="E110" s="257"/>
      <c r="F110" s="258"/>
      <c r="G110" s="198">
        <v>45077</v>
      </c>
      <c r="H110" s="199">
        <f t="shared" si="29"/>
        <v>131.21</v>
      </c>
      <c r="I110" s="204">
        <v>42522</v>
      </c>
      <c r="J110" s="201">
        <f t="shared" si="33"/>
        <v>131.21</v>
      </c>
      <c r="K110" s="201">
        <f t="shared" si="34"/>
        <v>131.21</v>
      </c>
      <c r="L110" s="201">
        <f t="shared" si="34"/>
        <v>131.21</v>
      </c>
      <c r="M110" s="201">
        <f t="shared" si="36"/>
        <v>131.21</v>
      </c>
      <c r="N110" s="201">
        <f t="shared" si="35"/>
        <v>131.21</v>
      </c>
      <c r="O110" s="201">
        <f t="shared" si="35"/>
        <v>131.21</v>
      </c>
      <c r="P110" s="201">
        <f t="shared" si="35"/>
        <v>131.21</v>
      </c>
      <c r="Q110" s="201">
        <f t="shared" si="35"/>
        <v>131.21</v>
      </c>
      <c r="R110" s="201">
        <f t="shared" si="35"/>
        <v>131.21</v>
      </c>
      <c r="S110" s="201">
        <f t="shared" si="35"/>
        <v>131.21</v>
      </c>
      <c r="T110" s="201">
        <f t="shared" si="35"/>
        <v>131.21</v>
      </c>
      <c r="U110" s="202">
        <f t="shared" si="35"/>
        <v>131.21</v>
      </c>
      <c r="V110" s="203">
        <f t="shared" si="31"/>
        <v>1574.5200000000002</v>
      </c>
      <c r="W110" s="259">
        <f t="shared" si="32"/>
        <v>2230.3699999999972</v>
      </c>
      <c r="X110" s="334"/>
    </row>
    <row r="111" spans="1:24" s="255" customFormat="1" ht="14.25">
      <c r="A111" s="197">
        <v>15234.89</v>
      </c>
      <c r="B111" s="186"/>
      <c r="C111" s="196">
        <f t="shared" si="28"/>
        <v>181.17999999999847</v>
      </c>
      <c r="D111" s="258">
        <v>5440.9100000000017</v>
      </c>
      <c r="E111" s="257"/>
      <c r="F111" s="258"/>
      <c r="G111" s="198">
        <v>45107</v>
      </c>
      <c r="H111" s="199">
        <f t="shared" si="29"/>
        <v>181.37</v>
      </c>
      <c r="I111" s="204">
        <v>42552</v>
      </c>
      <c r="J111" s="201">
        <f t="shared" si="33"/>
        <v>181.37</v>
      </c>
      <c r="K111" s="201">
        <f t="shared" si="34"/>
        <v>181.37</v>
      </c>
      <c r="L111" s="201">
        <f t="shared" si="34"/>
        <v>181.37</v>
      </c>
      <c r="M111" s="201">
        <f t="shared" si="36"/>
        <v>181.37</v>
      </c>
      <c r="N111" s="201">
        <f t="shared" si="35"/>
        <v>181.37</v>
      </c>
      <c r="O111" s="201">
        <f t="shared" si="35"/>
        <v>181.37</v>
      </c>
      <c r="P111" s="201">
        <f t="shared" si="35"/>
        <v>181.37</v>
      </c>
      <c r="Q111" s="201">
        <f t="shared" si="35"/>
        <v>181.37</v>
      </c>
      <c r="R111" s="201">
        <f t="shared" si="35"/>
        <v>181.37</v>
      </c>
      <c r="S111" s="201">
        <f t="shared" si="35"/>
        <v>181.37</v>
      </c>
      <c r="T111" s="201">
        <f t="shared" si="35"/>
        <v>181.37</v>
      </c>
      <c r="U111" s="202">
        <f t="shared" si="35"/>
        <v>181.37</v>
      </c>
      <c r="V111" s="203">
        <f t="shared" si="31"/>
        <v>2176.4399999999996</v>
      </c>
      <c r="W111" s="259">
        <f t="shared" si="32"/>
        <v>3264.4700000000021</v>
      </c>
      <c r="X111" s="334"/>
    </row>
    <row r="112" spans="1:24" s="255" customFormat="1" ht="14.25">
      <c r="A112" s="197">
        <v>16097.56</v>
      </c>
      <c r="B112" s="186"/>
      <c r="C112" s="196">
        <f t="shared" si="28"/>
        <v>191.44000000000051</v>
      </c>
      <c r="D112" s="258">
        <v>5940.64</v>
      </c>
      <c r="E112" s="257"/>
      <c r="F112" s="258"/>
      <c r="G112" s="198">
        <v>45138</v>
      </c>
      <c r="H112" s="199">
        <f t="shared" si="29"/>
        <v>191.64</v>
      </c>
      <c r="I112" s="204">
        <v>42583</v>
      </c>
      <c r="J112" s="201">
        <f t="shared" si="33"/>
        <v>191.64</v>
      </c>
      <c r="K112" s="201">
        <f t="shared" si="34"/>
        <v>191.64</v>
      </c>
      <c r="L112" s="201">
        <f t="shared" si="34"/>
        <v>191.64</v>
      </c>
      <c r="M112" s="201">
        <f t="shared" si="36"/>
        <v>191.64</v>
      </c>
      <c r="N112" s="201">
        <f t="shared" si="35"/>
        <v>191.64</v>
      </c>
      <c r="O112" s="201">
        <f t="shared" si="35"/>
        <v>191.64</v>
      </c>
      <c r="P112" s="201">
        <f t="shared" si="35"/>
        <v>191.64</v>
      </c>
      <c r="Q112" s="201">
        <f t="shared" si="35"/>
        <v>191.64</v>
      </c>
      <c r="R112" s="201">
        <f t="shared" si="35"/>
        <v>191.64</v>
      </c>
      <c r="S112" s="201">
        <f t="shared" si="35"/>
        <v>191.64</v>
      </c>
      <c r="T112" s="201">
        <f t="shared" si="35"/>
        <v>191.64</v>
      </c>
      <c r="U112" s="202">
        <f t="shared" si="35"/>
        <v>191.64</v>
      </c>
      <c r="V112" s="203">
        <f t="shared" si="31"/>
        <v>2299.6799999999994</v>
      </c>
      <c r="W112" s="259">
        <f t="shared" si="32"/>
        <v>3640.9600000000009</v>
      </c>
      <c r="X112" s="334"/>
    </row>
    <row r="113" spans="1:24" s="255" customFormat="1" ht="14.25">
      <c r="A113" s="197">
        <v>13948.109999999999</v>
      </c>
      <c r="B113" s="186"/>
      <c r="C113" s="196">
        <f t="shared" si="28"/>
        <v>165.95999999999731</v>
      </c>
      <c r="D113" s="258">
        <v>5313.5099999999984</v>
      </c>
      <c r="E113" s="257"/>
      <c r="F113" s="258"/>
      <c r="G113" s="198">
        <v>45169</v>
      </c>
      <c r="H113" s="199">
        <f t="shared" si="29"/>
        <v>166.05</v>
      </c>
      <c r="I113" s="204">
        <v>42614</v>
      </c>
      <c r="J113" s="201">
        <f t="shared" si="33"/>
        <v>166.05</v>
      </c>
      <c r="K113" s="201">
        <f t="shared" si="34"/>
        <v>166.05</v>
      </c>
      <c r="L113" s="201">
        <f t="shared" si="34"/>
        <v>166.05</v>
      </c>
      <c r="M113" s="201">
        <f t="shared" si="36"/>
        <v>166.05</v>
      </c>
      <c r="N113" s="201">
        <f t="shared" si="35"/>
        <v>166.05</v>
      </c>
      <c r="O113" s="201">
        <f t="shared" si="35"/>
        <v>166.05</v>
      </c>
      <c r="P113" s="201">
        <f t="shared" si="35"/>
        <v>166.05</v>
      </c>
      <c r="Q113" s="201">
        <f t="shared" si="35"/>
        <v>166.05</v>
      </c>
      <c r="R113" s="201">
        <f t="shared" si="35"/>
        <v>166.05</v>
      </c>
      <c r="S113" s="201">
        <f t="shared" si="35"/>
        <v>166.05</v>
      </c>
      <c r="T113" s="201">
        <f t="shared" si="35"/>
        <v>166.05</v>
      </c>
      <c r="U113" s="202">
        <f t="shared" si="35"/>
        <v>166.05</v>
      </c>
      <c r="V113" s="203">
        <f t="shared" si="31"/>
        <v>1992.5999999999997</v>
      </c>
      <c r="W113" s="259">
        <f t="shared" si="32"/>
        <v>3320.9099999999989</v>
      </c>
      <c r="X113" s="334"/>
    </row>
    <row r="114" spans="1:24" s="255" customFormat="1" ht="14.25">
      <c r="A114" s="197">
        <v>14736.34</v>
      </c>
      <c r="B114" s="186"/>
      <c r="C114" s="196">
        <f t="shared" si="28"/>
        <v>175.64999999999964</v>
      </c>
      <c r="D114" s="258">
        <v>5789.41</v>
      </c>
      <c r="E114" s="257"/>
      <c r="F114" s="258"/>
      <c r="G114" s="198">
        <v>45199</v>
      </c>
      <c r="H114" s="199">
        <f t="shared" si="29"/>
        <v>175.43</v>
      </c>
      <c r="I114" s="204">
        <v>42644</v>
      </c>
      <c r="J114" s="201">
        <f t="shared" si="33"/>
        <v>175.43</v>
      </c>
      <c r="K114" s="201">
        <f t="shared" si="34"/>
        <v>175.43</v>
      </c>
      <c r="L114" s="201">
        <f t="shared" si="34"/>
        <v>175.43</v>
      </c>
      <c r="M114" s="201">
        <f t="shared" si="36"/>
        <v>175.43</v>
      </c>
      <c r="N114" s="201">
        <f t="shared" si="35"/>
        <v>175.43</v>
      </c>
      <c r="O114" s="201">
        <f t="shared" si="35"/>
        <v>175.43</v>
      </c>
      <c r="P114" s="201">
        <f t="shared" si="35"/>
        <v>175.43</v>
      </c>
      <c r="Q114" s="201">
        <f t="shared" si="35"/>
        <v>175.43</v>
      </c>
      <c r="R114" s="201">
        <f t="shared" si="35"/>
        <v>175.43</v>
      </c>
      <c r="S114" s="201">
        <f t="shared" si="35"/>
        <v>175.43</v>
      </c>
      <c r="T114" s="201">
        <f t="shared" si="35"/>
        <v>175.43</v>
      </c>
      <c r="U114" s="202">
        <f t="shared" si="35"/>
        <v>175.43</v>
      </c>
      <c r="V114" s="203">
        <f t="shared" si="31"/>
        <v>2105.1600000000003</v>
      </c>
      <c r="W114" s="259">
        <f t="shared" si="32"/>
        <v>3684.2499999999995</v>
      </c>
      <c r="X114" s="334"/>
    </row>
    <row r="115" spans="1:24" s="255" customFormat="1" ht="14.25">
      <c r="A115" s="197">
        <v>2702.64</v>
      </c>
      <c r="B115" s="186"/>
      <c r="C115" s="196">
        <f t="shared" si="28"/>
        <v>32.529999999999745</v>
      </c>
      <c r="D115" s="258">
        <v>1094.1399999999992</v>
      </c>
      <c r="E115" s="257"/>
      <c r="F115" s="258"/>
      <c r="G115" s="198">
        <v>45230</v>
      </c>
      <c r="H115" s="199">
        <f t="shared" si="29"/>
        <v>32.17</v>
      </c>
      <c r="I115" s="204">
        <v>42675</v>
      </c>
      <c r="J115" s="201">
        <f t="shared" si="33"/>
        <v>32.17</v>
      </c>
      <c r="K115" s="201">
        <f t="shared" si="34"/>
        <v>32.17</v>
      </c>
      <c r="L115" s="201">
        <f t="shared" si="34"/>
        <v>32.17</v>
      </c>
      <c r="M115" s="201">
        <f t="shared" si="36"/>
        <v>32.17</v>
      </c>
      <c r="N115" s="201">
        <f t="shared" si="35"/>
        <v>32.17</v>
      </c>
      <c r="O115" s="201">
        <f t="shared" si="35"/>
        <v>32.17</v>
      </c>
      <c r="P115" s="201">
        <f t="shared" si="35"/>
        <v>32.17</v>
      </c>
      <c r="Q115" s="201">
        <f t="shared" si="35"/>
        <v>32.17</v>
      </c>
      <c r="R115" s="201">
        <f t="shared" si="35"/>
        <v>32.17</v>
      </c>
      <c r="S115" s="201">
        <f t="shared" si="35"/>
        <v>32.17</v>
      </c>
      <c r="T115" s="201">
        <f t="shared" si="35"/>
        <v>32.17</v>
      </c>
      <c r="U115" s="202">
        <f t="shared" si="35"/>
        <v>32.17</v>
      </c>
      <c r="V115" s="203">
        <f t="shared" si="31"/>
        <v>386.04000000000013</v>
      </c>
      <c r="W115" s="259">
        <f t="shared" si="32"/>
        <v>708.099999999999</v>
      </c>
      <c r="X115" s="334"/>
    </row>
    <row r="116" spans="1:24" s="389" customFormat="1" ht="14.25">
      <c r="A116" s="320">
        <v>42940.66</v>
      </c>
      <c r="B116" s="321"/>
      <c r="C116" s="331">
        <f t="shared" si="28"/>
        <v>511.06000000000495</v>
      </c>
      <c r="D116" s="322">
        <v>17891.860000000011</v>
      </c>
      <c r="E116" s="323"/>
      <c r="F116" s="322"/>
      <c r="G116" s="324">
        <v>45260</v>
      </c>
      <c r="H116" s="325">
        <f t="shared" si="29"/>
        <v>511.2</v>
      </c>
      <c r="I116" s="326">
        <v>42705</v>
      </c>
      <c r="J116" s="327">
        <f t="shared" si="33"/>
        <v>511.2</v>
      </c>
      <c r="K116" s="327">
        <f t="shared" si="34"/>
        <v>511.2</v>
      </c>
      <c r="L116" s="327">
        <f t="shared" si="34"/>
        <v>511.2</v>
      </c>
      <c r="M116" s="327">
        <f t="shared" si="36"/>
        <v>511.2</v>
      </c>
      <c r="N116" s="327">
        <f t="shared" si="35"/>
        <v>511.2</v>
      </c>
      <c r="O116" s="327">
        <f t="shared" si="35"/>
        <v>511.2</v>
      </c>
      <c r="P116" s="327">
        <f t="shared" si="35"/>
        <v>511.2</v>
      </c>
      <c r="Q116" s="327">
        <f t="shared" si="35"/>
        <v>511.2</v>
      </c>
      <c r="R116" s="327">
        <f t="shared" si="35"/>
        <v>511.2</v>
      </c>
      <c r="S116" s="327">
        <f t="shared" si="35"/>
        <v>511.2</v>
      </c>
      <c r="T116" s="327">
        <f t="shared" si="35"/>
        <v>511.2</v>
      </c>
      <c r="U116" s="328">
        <f t="shared" si="35"/>
        <v>511.2</v>
      </c>
      <c r="V116" s="329">
        <f t="shared" si="31"/>
        <v>6134.3999999999987</v>
      </c>
      <c r="W116" s="330">
        <f t="shared" si="32"/>
        <v>11757.460000000014</v>
      </c>
      <c r="X116" s="388"/>
    </row>
    <row r="117" spans="1:24" s="149" customFormat="1" ht="14.25">
      <c r="A117" s="197">
        <f>'PIPING FN__ INPUT'!N9</f>
        <v>12461.68</v>
      </c>
      <c r="B117" s="186">
        <v>14007.33</v>
      </c>
      <c r="C117" s="196">
        <f t="shared" si="28"/>
        <v>148.63000000000102</v>
      </c>
      <c r="D117" s="258">
        <v>7157.76</v>
      </c>
      <c r="E117" s="233"/>
      <c r="F117" s="233"/>
      <c r="G117" s="198">
        <v>45656</v>
      </c>
      <c r="H117" s="199">
        <f t="shared" si="29"/>
        <v>148.35</v>
      </c>
      <c r="I117" s="204">
        <v>42736</v>
      </c>
      <c r="J117" s="201">
        <f t="shared" si="33"/>
        <v>148.35</v>
      </c>
      <c r="K117" s="201">
        <f t="shared" si="34"/>
        <v>148.35</v>
      </c>
      <c r="L117" s="201">
        <f t="shared" si="34"/>
        <v>148.35</v>
      </c>
      <c r="M117" s="201">
        <f t="shared" si="36"/>
        <v>148.35</v>
      </c>
      <c r="N117" s="201">
        <f t="shared" si="35"/>
        <v>148.35</v>
      </c>
      <c r="O117" s="201">
        <f t="shared" si="35"/>
        <v>148.35</v>
      </c>
      <c r="P117" s="201">
        <f t="shared" si="35"/>
        <v>148.35</v>
      </c>
      <c r="Q117" s="201">
        <f t="shared" si="35"/>
        <v>148.35</v>
      </c>
      <c r="R117" s="201">
        <f t="shared" si="35"/>
        <v>148.35</v>
      </c>
      <c r="S117" s="201">
        <f t="shared" si="35"/>
        <v>148.35</v>
      </c>
      <c r="T117" s="201">
        <f t="shared" si="35"/>
        <v>148.35</v>
      </c>
      <c r="U117" s="202">
        <f t="shared" si="35"/>
        <v>148.35</v>
      </c>
      <c r="V117" s="203">
        <f t="shared" si="31"/>
        <v>1780.1999999999996</v>
      </c>
      <c r="W117" s="354">
        <f t="shared" si="32"/>
        <v>5377.56</v>
      </c>
      <c r="X117" s="333"/>
    </row>
    <row r="118" spans="1:24" s="149" customFormat="1" ht="14.25">
      <c r="A118" s="197">
        <v>16871.75</v>
      </c>
      <c r="B118" s="186">
        <f t="shared" ref="B118:B128" si="37">A118+B117</f>
        <v>30879.08</v>
      </c>
      <c r="C118" s="196">
        <f t="shared" si="28"/>
        <v>201.20000000000073</v>
      </c>
      <c r="D118" s="258">
        <v>7431.4500000000025</v>
      </c>
      <c r="E118" s="233"/>
      <c r="F118" s="233"/>
      <c r="G118" s="198">
        <v>45688</v>
      </c>
      <c r="H118" s="394">
        <f t="shared" si="29"/>
        <v>200.85</v>
      </c>
      <c r="I118" s="204">
        <v>42767</v>
      </c>
      <c r="J118" s="201">
        <f t="shared" si="33"/>
        <v>200.85</v>
      </c>
      <c r="K118" s="259">
        <f t="shared" si="34"/>
        <v>200.85</v>
      </c>
      <c r="L118" s="201">
        <f t="shared" si="34"/>
        <v>200.85</v>
      </c>
      <c r="M118" s="201">
        <f t="shared" si="36"/>
        <v>200.85</v>
      </c>
      <c r="N118" s="259">
        <f t="shared" ref="N118:U127" si="38">IF(N$7&lt;$I118,"",IF(N$7=$I118,+$C118,IF(N$7&lt;=$G118,+(ROUND(($A118-$C118)/83,2)),"- - DONE - -")))</f>
        <v>200.85</v>
      </c>
      <c r="O118" s="259">
        <f t="shared" si="38"/>
        <v>200.85</v>
      </c>
      <c r="P118" s="259">
        <f t="shared" si="38"/>
        <v>200.85</v>
      </c>
      <c r="Q118" s="259">
        <f t="shared" si="38"/>
        <v>200.85</v>
      </c>
      <c r="R118" s="259">
        <f t="shared" si="38"/>
        <v>200.85</v>
      </c>
      <c r="S118" s="259">
        <f t="shared" si="38"/>
        <v>200.85</v>
      </c>
      <c r="T118" s="259">
        <f t="shared" si="38"/>
        <v>200.85</v>
      </c>
      <c r="U118" s="202">
        <f t="shared" si="38"/>
        <v>200.85</v>
      </c>
      <c r="V118" s="203">
        <f t="shared" si="31"/>
        <v>2410.1999999999994</v>
      </c>
      <c r="W118" s="354">
        <f t="shared" si="32"/>
        <v>5021.2500000000036</v>
      </c>
      <c r="X118" s="333"/>
    </row>
    <row r="119" spans="1:24" s="149" customFormat="1" ht="14.25">
      <c r="A119" s="197">
        <v>19823.07</v>
      </c>
      <c r="B119" s="186">
        <f t="shared" si="37"/>
        <v>50702.15</v>
      </c>
      <c r="C119" s="196">
        <f t="shared" si="28"/>
        <v>235.89999999999782</v>
      </c>
      <c r="D119" s="258">
        <v>8967.5300000000007</v>
      </c>
      <c r="E119" s="233"/>
      <c r="F119" s="233"/>
      <c r="G119" s="198">
        <v>45747</v>
      </c>
      <c r="H119" s="394">
        <f t="shared" si="29"/>
        <v>235.99</v>
      </c>
      <c r="I119" s="204">
        <v>42795</v>
      </c>
      <c r="J119" s="201">
        <f t="shared" si="33"/>
        <v>235.99</v>
      </c>
      <c r="K119" s="259">
        <f t="shared" si="34"/>
        <v>235.99</v>
      </c>
      <c r="L119" s="201">
        <f t="shared" si="34"/>
        <v>235.99</v>
      </c>
      <c r="M119" s="201">
        <f t="shared" si="36"/>
        <v>235.99</v>
      </c>
      <c r="N119" s="259">
        <f t="shared" si="38"/>
        <v>235.99</v>
      </c>
      <c r="O119" s="259">
        <f t="shared" si="38"/>
        <v>235.99</v>
      </c>
      <c r="P119" s="259">
        <f t="shared" si="38"/>
        <v>235.99</v>
      </c>
      <c r="Q119" s="259">
        <f t="shared" si="38"/>
        <v>235.99</v>
      </c>
      <c r="R119" s="259">
        <f t="shared" si="38"/>
        <v>235.99</v>
      </c>
      <c r="S119" s="259">
        <f t="shared" si="38"/>
        <v>235.99</v>
      </c>
      <c r="T119" s="259">
        <f t="shared" si="38"/>
        <v>235.99</v>
      </c>
      <c r="U119" s="202">
        <f t="shared" si="38"/>
        <v>235.99</v>
      </c>
      <c r="V119" s="203">
        <f t="shared" si="31"/>
        <v>2831.8799999999992</v>
      </c>
      <c r="W119" s="354">
        <f t="shared" si="32"/>
        <v>6135.6500000000015</v>
      </c>
      <c r="X119" s="333"/>
    </row>
    <row r="120" spans="1:24" s="149" customFormat="1" ht="14.25">
      <c r="A120" s="197">
        <v>12055.720000000001</v>
      </c>
      <c r="B120" s="186">
        <f t="shared" si="37"/>
        <v>62757.87</v>
      </c>
      <c r="C120" s="196">
        <f t="shared" si="28"/>
        <v>143.55999999999949</v>
      </c>
      <c r="D120" s="444">
        <v>5597.3200000000015</v>
      </c>
      <c r="E120" s="238"/>
      <c r="F120" s="238"/>
      <c r="G120" s="421">
        <v>45777</v>
      </c>
      <c r="H120" s="422">
        <f t="shared" si="29"/>
        <v>143.52000000000001</v>
      </c>
      <c r="I120" s="204">
        <v>42826</v>
      </c>
      <c r="J120" s="201">
        <f t="shared" si="33"/>
        <v>143.52000000000001</v>
      </c>
      <c r="K120" s="259">
        <f t="shared" si="34"/>
        <v>143.52000000000001</v>
      </c>
      <c r="L120" s="259">
        <f t="shared" si="34"/>
        <v>143.52000000000001</v>
      </c>
      <c r="M120" s="259">
        <f t="shared" si="36"/>
        <v>143.52000000000001</v>
      </c>
      <c r="N120" s="259">
        <f t="shared" si="38"/>
        <v>143.52000000000001</v>
      </c>
      <c r="O120" s="259">
        <f t="shared" si="38"/>
        <v>143.52000000000001</v>
      </c>
      <c r="P120" s="259">
        <f t="shared" si="38"/>
        <v>143.52000000000001</v>
      </c>
      <c r="Q120" s="259">
        <f t="shared" si="38"/>
        <v>143.52000000000001</v>
      </c>
      <c r="R120" s="259">
        <f t="shared" si="38"/>
        <v>143.52000000000001</v>
      </c>
      <c r="S120" s="259">
        <f t="shared" si="38"/>
        <v>143.52000000000001</v>
      </c>
      <c r="T120" s="259">
        <f t="shared" si="38"/>
        <v>143.52000000000001</v>
      </c>
      <c r="U120" s="202">
        <f t="shared" si="38"/>
        <v>143.52000000000001</v>
      </c>
      <c r="V120" s="203">
        <f t="shared" si="31"/>
        <v>1722.24</v>
      </c>
      <c r="W120" s="354">
        <f t="shared" si="32"/>
        <v>3875.0800000000017</v>
      </c>
      <c r="X120" s="333"/>
    </row>
    <row r="121" spans="1:24" s="149" customFormat="1" ht="14.25">
      <c r="A121" s="197">
        <v>12973.18</v>
      </c>
      <c r="B121" s="186">
        <f t="shared" si="37"/>
        <v>75731.05</v>
      </c>
      <c r="C121" s="196">
        <f t="shared" si="28"/>
        <v>154.65999999999985</v>
      </c>
      <c r="D121" s="258">
        <v>6177.8199999999979</v>
      </c>
      <c r="E121" s="233"/>
      <c r="F121" s="233"/>
      <c r="G121" s="421">
        <v>45808</v>
      </c>
      <c r="H121" s="422">
        <f t="shared" si="29"/>
        <v>154.44</v>
      </c>
      <c r="I121" s="204">
        <v>42856</v>
      </c>
      <c r="J121" s="201">
        <f t="shared" si="33"/>
        <v>154.44</v>
      </c>
      <c r="K121" s="259">
        <f t="shared" si="34"/>
        <v>154.44</v>
      </c>
      <c r="L121" s="201">
        <f t="shared" si="34"/>
        <v>154.44</v>
      </c>
      <c r="M121" s="201">
        <f t="shared" si="36"/>
        <v>154.44</v>
      </c>
      <c r="N121" s="259">
        <f t="shared" si="38"/>
        <v>154.44</v>
      </c>
      <c r="O121" s="259">
        <f t="shared" si="38"/>
        <v>154.44</v>
      </c>
      <c r="P121" s="259">
        <f t="shared" si="38"/>
        <v>154.44</v>
      </c>
      <c r="Q121" s="259">
        <f t="shared" si="38"/>
        <v>154.44</v>
      </c>
      <c r="R121" s="259">
        <f t="shared" si="38"/>
        <v>154.44</v>
      </c>
      <c r="S121" s="259">
        <f t="shared" si="38"/>
        <v>154.44</v>
      </c>
      <c r="T121" s="259">
        <f t="shared" si="38"/>
        <v>154.44</v>
      </c>
      <c r="U121" s="202">
        <f t="shared" si="38"/>
        <v>154.44</v>
      </c>
      <c r="V121" s="203">
        <f t="shared" si="31"/>
        <v>1853.2800000000004</v>
      </c>
      <c r="W121" s="354">
        <f t="shared" si="32"/>
        <v>4324.5399999999972</v>
      </c>
      <c r="X121" s="333"/>
    </row>
    <row r="122" spans="1:24" s="149" customFormat="1" ht="14.25">
      <c r="A122" s="197">
        <v>24998.07</v>
      </c>
      <c r="B122" s="186">
        <f t="shared" si="37"/>
        <v>100729.12</v>
      </c>
      <c r="C122" s="196">
        <f t="shared" si="28"/>
        <v>297.2699999999968</v>
      </c>
      <c r="D122" s="258">
        <v>12201.27</v>
      </c>
      <c r="E122" s="233"/>
      <c r="F122" s="233"/>
      <c r="G122" s="421">
        <v>45809</v>
      </c>
      <c r="H122" s="422">
        <f t="shared" si="29"/>
        <v>297.60000000000002</v>
      </c>
      <c r="I122" s="204">
        <v>42887</v>
      </c>
      <c r="J122" s="201">
        <f t="shared" si="33"/>
        <v>297.60000000000002</v>
      </c>
      <c r="K122" s="259">
        <f t="shared" si="34"/>
        <v>297.60000000000002</v>
      </c>
      <c r="L122" s="201">
        <f t="shared" si="34"/>
        <v>297.60000000000002</v>
      </c>
      <c r="M122" s="201">
        <f t="shared" si="36"/>
        <v>297.60000000000002</v>
      </c>
      <c r="N122" s="259">
        <f t="shared" si="38"/>
        <v>297.60000000000002</v>
      </c>
      <c r="O122" s="259">
        <f t="shared" si="38"/>
        <v>297.60000000000002</v>
      </c>
      <c r="P122" s="259">
        <f t="shared" si="38"/>
        <v>297.60000000000002</v>
      </c>
      <c r="Q122" s="259">
        <f t="shared" si="38"/>
        <v>297.60000000000002</v>
      </c>
      <c r="R122" s="259">
        <f t="shared" si="38"/>
        <v>297.60000000000002</v>
      </c>
      <c r="S122" s="259">
        <f t="shared" si="38"/>
        <v>297.60000000000002</v>
      </c>
      <c r="T122" s="259">
        <f t="shared" si="38"/>
        <v>297.60000000000002</v>
      </c>
      <c r="U122" s="202">
        <f t="shared" si="38"/>
        <v>297.60000000000002</v>
      </c>
      <c r="V122" s="203">
        <f t="shared" si="31"/>
        <v>3571.1999999999994</v>
      </c>
      <c r="W122" s="354">
        <f t="shared" si="32"/>
        <v>8630.0700000000015</v>
      </c>
      <c r="X122" s="333"/>
    </row>
    <row r="123" spans="1:24" s="149" customFormat="1" ht="14.25">
      <c r="A123" s="197">
        <v>13417.68</v>
      </c>
      <c r="B123" s="186">
        <f t="shared" si="37"/>
        <v>114146.79999999999</v>
      </c>
      <c r="C123" s="196">
        <f t="shared" si="28"/>
        <v>160.09000000000196</v>
      </c>
      <c r="D123" s="258">
        <v>6709.02</v>
      </c>
      <c r="E123" s="233"/>
      <c r="F123" s="233"/>
      <c r="G123" s="421">
        <v>45839</v>
      </c>
      <c r="H123" s="422">
        <f t="shared" si="29"/>
        <v>159.72999999999999</v>
      </c>
      <c r="I123" s="204">
        <v>42917</v>
      </c>
      <c r="J123" s="201">
        <f t="shared" si="33"/>
        <v>159.72999999999999</v>
      </c>
      <c r="K123" s="259">
        <f t="shared" si="34"/>
        <v>159.72999999999999</v>
      </c>
      <c r="L123" s="201">
        <f t="shared" si="34"/>
        <v>159.72999999999999</v>
      </c>
      <c r="M123" s="201">
        <f t="shared" si="36"/>
        <v>159.72999999999999</v>
      </c>
      <c r="N123" s="259">
        <f t="shared" si="38"/>
        <v>159.72999999999999</v>
      </c>
      <c r="O123" s="259">
        <f t="shared" si="38"/>
        <v>159.72999999999999</v>
      </c>
      <c r="P123" s="259">
        <f t="shared" si="38"/>
        <v>159.72999999999999</v>
      </c>
      <c r="Q123" s="259">
        <f t="shared" si="38"/>
        <v>159.72999999999999</v>
      </c>
      <c r="R123" s="259">
        <f t="shared" si="38"/>
        <v>159.72999999999999</v>
      </c>
      <c r="S123" s="259">
        <f t="shared" si="38"/>
        <v>159.72999999999999</v>
      </c>
      <c r="T123" s="259">
        <f t="shared" si="38"/>
        <v>159.72999999999999</v>
      </c>
      <c r="U123" s="202">
        <f t="shared" si="38"/>
        <v>159.72999999999999</v>
      </c>
      <c r="V123" s="203">
        <f t="shared" si="31"/>
        <v>1916.76</v>
      </c>
      <c r="W123" s="354">
        <f t="shared" si="32"/>
        <v>4792.26</v>
      </c>
      <c r="X123" s="333"/>
    </row>
    <row r="124" spans="1:24" s="149" customFormat="1" ht="13.5" customHeight="1">
      <c r="A124" s="197">
        <v>18738.3</v>
      </c>
      <c r="B124" s="186">
        <f t="shared" si="37"/>
        <v>132885.09999999998</v>
      </c>
      <c r="C124" s="196">
        <f t="shared" si="28"/>
        <v>222.65999999999985</v>
      </c>
      <c r="D124" s="258">
        <v>9592.02</v>
      </c>
      <c r="E124" s="233"/>
      <c r="F124" s="233"/>
      <c r="G124" s="421">
        <v>45870</v>
      </c>
      <c r="H124" s="422">
        <f t="shared" si="29"/>
        <v>223.08</v>
      </c>
      <c r="I124" s="204">
        <v>42948</v>
      </c>
      <c r="J124" s="201">
        <f t="shared" si="33"/>
        <v>223.08</v>
      </c>
      <c r="K124" s="259">
        <f t="shared" si="34"/>
        <v>223.08</v>
      </c>
      <c r="L124" s="201">
        <f t="shared" si="34"/>
        <v>223.08</v>
      </c>
      <c r="M124" s="201">
        <f t="shared" si="36"/>
        <v>223.08</v>
      </c>
      <c r="N124" s="259">
        <f t="shared" si="38"/>
        <v>223.08</v>
      </c>
      <c r="O124" s="259">
        <f t="shared" si="38"/>
        <v>223.08</v>
      </c>
      <c r="P124" s="259">
        <f t="shared" si="38"/>
        <v>223.08</v>
      </c>
      <c r="Q124" s="259">
        <f t="shared" si="38"/>
        <v>223.08</v>
      </c>
      <c r="R124" s="259">
        <f t="shared" si="38"/>
        <v>223.08</v>
      </c>
      <c r="S124" s="259">
        <f t="shared" si="38"/>
        <v>223.08</v>
      </c>
      <c r="T124" s="259">
        <f t="shared" si="38"/>
        <v>223.08</v>
      </c>
      <c r="U124" s="202">
        <f t="shared" si="38"/>
        <v>223.08</v>
      </c>
      <c r="V124" s="203">
        <f t="shared" si="31"/>
        <v>2676.9599999999996</v>
      </c>
      <c r="W124" s="354">
        <f t="shared" si="32"/>
        <v>6915.0600000000013</v>
      </c>
      <c r="X124" s="333"/>
    </row>
    <row r="125" spans="1:24" s="149" customFormat="1" ht="13.5" customHeight="1">
      <c r="A125" s="197">
        <v>10813.85</v>
      </c>
      <c r="B125" s="186">
        <f t="shared" si="37"/>
        <v>143698.94999999998</v>
      </c>
      <c r="C125" s="196">
        <f t="shared" si="28"/>
        <v>128.43000000000029</v>
      </c>
      <c r="D125" s="258">
        <v>5664.2499999999982</v>
      </c>
      <c r="E125" s="233"/>
      <c r="F125" s="233"/>
      <c r="G125" s="421">
        <v>45901</v>
      </c>
      <c r="H125" s="422">
        <f t="shared" si="29"/>
        <v>128.74</v>
      </c>
      <c r="I125" s="204">
        <v>42979</v>
      </c>
      <c r="J125" s="201">
        <f t="shared" si="33"/>
        <v>128.74</v>
      </c>
      <c r="K125" s="259">
        <f t="shared" si="34"/>
        <v>128.74</v>
      </c>
      <c r="L125" s="201">
        <f t="shared" si="34"/>
        <v>128.74</v>
      </c>
      <c r="M125" s="201">
        <f t="shared" si="36"/>
        <v>128.74</v>
      </c>
      <c r="N125" s="259">
        <f t="shared" si="38"/>
        <v>128.74</v>
      </c>
      <c r="O125" s="259">
        <f t="shared" si="38"/>
        <v>128.74</v>
      </c>
      <c r="P125" s="259">
        <f t="shared" si="38"/>
        <v>128.74</v>
      </c>
      <c r="Q125" s="259">
        <f t="shared" si="38"/>
        <v>128.74</v>
      </c>
      <c r="R125" s="259">
        <f t="shared" si="38"/>
        <v>128.74</v>
      </c>
      <c r="S125" s="259">
        <f t="shared" si="38"/>
        <v>128.74</v>
      </c>
      <c r="T125" s="259">
        <f t="shared" si="38"/>
        <v>128.74</v>
      </c>
      <c r="U125" s="202">
        <f t="shared" si="38"/>
        <v>128.74</v>
      </c>
      <c r="V125" s="203">
        <f t="shared" si="31"/>
        <v>1544.88</v>
      </c>
      <c r="W125" s="354">
        <f t="shared" si="32"/>
        <v>4119.3699999999981</v>
      </c>
      <c r="X125" s="333"/>
    </row>
    <row r="126" spans="1:24" s="149" customFormat="1" ht="13.5" customHeight="1">
      <c r="A126" s="197">
        <v>11237.37</v>
      </c>
      <c r="B126" s="186">
        <f t="shared" si="37"/>
        <v>154936.31999999998</v>
      </c>
      <c r="C126" s="196">
        <f t="shared" si="28"/>
        <v>133.63000000000102</v>
      </c>
      <c r="D126" s="258">
        <v>6019.9500000000007</v>
      </c>
      <c r="E126" s="233"/>
      <c r="F126" s="233"/>
      <c r="G126" s="421">
        <v>45931</v>
      </c>
      <c r="H126" s="422">
        <f t="shared" si="29"/>
        <v>133.78</v>
      </c>
      <c r="I126" s="204">
        <v>43009</v>
      </c>
      <c r="J126" s="201">
        <f t="shared" si="33"/>
        <v>133.78</v>
      </c>
      <c r="K126" s="259">
        <f t="shared" si="34"/>
        <v>133.78</v>
      </c>
      <c r="L126" s="201">
        <f t="shared" si="34"/>
        <v>133.78</v>
      </c>
      <c r="M126" s="201">
        <f t="shared" si="36"/>
        <v>133.78</v>
      </c>
      <c r="N126" s="259">
        <f t="shared" si="38"/>
        <v>133.78</v>
      </c>
      <c r="O126" s="259">
        <f t="shared" si="38"/>
        <v>133.78</v>
      </c>
      <c r="P126" s="259">
        <f t="shared" si="38"/>
        <v>133.78</v>
      </c>
      <c r="Q126" s="259">
        <f t="shared" si="38"/>
        <v>133.78</v>
      </c>
      <c r="R126" s="259">
        <f t="shared" si="38"/>
        <v>133.78</v>
      </c>
      <c r="S126" s="259">
        <f t="shared" si="38"/>
        <v>133.78</v>
      </c>
      <c r="T126" s="259">
        <f t="shared" si="38"/>
        <v>133.78</v>
      </c>
      <c r="U126" s="202">
        <f t="shared" si="38"/>
        <v>133.78</v>
      </c>
      <c r="V126" s="203">
        <f t="shared" si="31"/>
        <v>1605.36</v>
      </c>
      <c r="W126" s="354">
        <f t="shared" si="32"/>
        <v>4414.5900000000011</v>
      </c>
      <c r="X126" s="333"/>
    </row>
    <row r="127" spans="1:24" s="149" customFormat="1" ht="13.5" customHeight="1">
      <c r="A127" s="197">
        <v>7678.75</v>
      </c>
      <c r="B127" s="186">
        <f t="shared" si="37"/>
        <v>162615.06999999998</v>
      </c>
      <c r="C127" s="196">
        <f t="shared" si="28"/>
        <v>91.720000000000255</v>
      </c>
      <c r="D127" s="258">
        <v>4205.17</v>
      </c>
      <c r="E127" s="233"/>
      <c r="F127" s="233"/>
      <c r="G127" s="421">
        <v>45962</v>
      </c>
      <c r="H127" s="422">
        <f t="shared" si="29"/>
        <v>91.41</v>
      </c>
      <c r="I127" s="204">
        <v>43040</v>
      </c>
      <c r="J127" s="201">
        <f t="shared" si="33"/>
        <v>91.41</v>
      </c>
      <c r="K127" s="259">
        <f t="shared" si="34"/>
        <v>91.41</v>
      </c>
      <c r="L127" s="201">
        <f t="shared" si="34"/>
        <v>91.41</v>
      </c>
      <c r="M127" s="201">
        <f t="shared" si="36"/>
        <v>91.41</v>
      </c>
      <c r="N127" s="259">
        <f t="shared" si="38"/>
        <v>91.41</v>
      </c>
      <c r="O127" s="259">
        <f t="shared" si="38"/>
        <v>91.41</v>
      </c>
      <c r="P127" s="259">
        <f t="shared" si="38"/>
        <v>91.41</v>
      </c>
      <c r="Q127" s="259">
        <f t="shared" si="38"/>
        <v>91.41</v>
      </c>
      <c r="R127" s="259">
        <f t="shared" si="38"/>
        <v>91.41</v>
      </c>
      <c r="S127" s="259">
        <f t="shared" si="38"/>
        <v>91.41</v>
      </c>
      <c r="T127" s="259">
        <f t="shared" si="38"/>
        <v>91.41</v>
      </c>
      <c r="U127" s="202">
        <f t="shared" si="38"/>
        <v>91.41</v>
      </c>
      <c r="V127" s="203">
        <f t="shared" si="31"/>
        <v>1096.9199999999998</v>
      </c>
      <c r="W127" s="354">
        <f t="shared" si="32"/>
        <v>3108.25</v>
      </c>
      <c r="X127" s="333"/>
    </row>
    <row r="128" spans="1:24" s="149" customFormat="1" ht="13.5" customHeight="1">
      <c r="A128" s="320">
        <v>26075.83</v>
      </c>
      <c r="B128" s="321">
        <f t="shared" si="37"/>
        <v>188690.89999999997</v>
      </c>
      <c r="C128" s="331">
        <f t="shared" si="28"/>
        <v>310.13999999999942</v>
      </c>
      <c r="D128" s="322">
        <v>14589.920000000002</v>
      </c>
      <c r="E128" s="427"/>
      <c r="F128" s="427"/>
      <c r="G128" s="324">
        <v>45992</v>
      </c>
      <c r="H128" s="420">
        <f t="shared" si="29"/>
        <v>310.43</v>
      </c>
      <c r="I128" s="326">
        <v>43070</v>
      </c>
      <c r="J128" s="327">
        <f t="shared" si="33"/>
        <v>310.43</v>
      </c>
      <c r="K128" s="330">
        <f t="shared" ref="K128:L147" si="39">IF(K$7&lt;$I128,"",IF(K$7=$I128,+$C128,IF(K$7&lt;=$G128,+(ROUND(($A128-$C128)/83,2)),"- - DONE - -")))</f>
        <v>310.43</v>
      </c>
      <c r="L128" s="327">
        <f t="shared" si="39"/>
        <v>310.43</v>
      </c>
      <c r="M128" s="327">
        <f t="shared" si="36"/>
        <v>310.43</v>
      </c>
      <c r="N128" s="330">
        <f t="shared" ref="N128:U137" si="40">IF(N$7&lt;$I128,"",IF(N$7=$I128,+$C128,IF(N$7&lt;=$G128,+(ROUND(($A128-$C128)/83,2)),"- - DONE - -")))</f>
        <v>310.43</v>
      </c>
      <c r="O128" s="330">
        <f t="shared" si="40"/>
        <v>310.43</v>
      </c>
      <c r="P128" s="330">
        <f t="shared" si="40"/>
        <v>310.43</v>
      </c>
      <c r="Q128" s="330">
        <f t="shared" si="40"/>
        <v>310.43</v>
      </c>
      <c r="R128" s="330">
        <f t="shared" si="40"/>
        <v>310.43</v>
      </c>
      <c r="S128" s="330">
        <f t="shared" si="40"/>
        <v>310.43</v>
      </c>
      <c r="T128" s="330">
        <f t="shared" si="40"/>
        <v>310.43</v>
      </c>
      <c r="U128" s="328">
        <f t="shared" si="40"/>
        <v>310.43</v>
      </c>
      <c r="V128" s="329">
        <f t="shared" si="31"/>
        <v>3725.1599999999994</v>
      </c>
      <c r="W128" s="330">
        <f t="shared" si="32"/>
        <v>10864.760000000002</v>
      </c>
      <c r="X128" s="333"/>
    </row>
    <row r="129" spans="1:24" s="149" customFormat="1" ht="13.5" customHeight="1">
      <c r="A129" s="197">
        <v>5916.65</v>
      </c>
      <c r="B129" s="186">
        <f>A129</f>
        <v>5916.65</v>
      </c>
      <c r="C129" s="196">
        <f t="shared" si="28"/>
        <v>70.130000000000109</v>
      </c>
      <c r="D129" s="258">
        <v>3381.1199999999994</v>
      </c>
      <c r="E129" s="233"/>
      <c r="F129" s="233"/>
      <c r="G129" s="421">
        <v>46023</v>
      </c>
      <c r="H129" s="422">
        <f t="shared" si="29"/>
        <v>70.44</v>
      </c>
      <c r="I129" s="204">
        <v>43101</v>
      </c>
      <c r="J129" s="201">
        <f t="shared" si="33"/>
        <v>70.44</v>
      </c>
      <c r="K129" s="259">
        <f t="shared" si="39"/>
        <v>70.44</v>
      </c>
      <c r="L129" s="201">
        <f t="shared" si="39"/>
        <v>70.44</v>
      </c>
      <c r="M129" s="201">
        <f t="shared" si="36"/>
        <v>70.44</v>
      </c>
      <c r="N129" s="259">
        <f t="shared" si="40"/>
        <v>70.44</v>
      </c>
      <c r="O129" s="259">
        <f t="shared" si="40"/>
        <v>70.44</v>
      </c>
      <c r="P129" s="259">
        <f t="shared" si="40"/>
        <v>70.44</v>
      </c>
      <c r="Q129" s="259">
        <f t="shared" si="40"/>
        <v>70.44</v>
      </c>
      <c r="R129" s="259">
        <f t="shared" si="40"/>
        <v>70.44</v>
      </c>
      <c r="S129" s="259">
        <f t="shared" si="40"/>
        <v>70.44</v>
      </c>
      <c r="T129" s="259">
        <f t="shared" si="40"/>
        <v>70.44</v>
      </c>
      <c r="U129" s="202">
        <f t="shared" si="40"/>
        <v>70.44</v>
      </c>
      <c r="V129" s="203">
        <f t="shared" si="31"/>
        <v>845.2800000000002</v>
      </c>
      <c r="W129" s="354">
        <f t="shared" si="32"/>
        <v>2535.8399999999992</v>
      </c>
      <c r="X129" s="333"/>
    </row>
    <row r="130" spans="1:24" s="149" customFormat="1" ht="13.5" customHeight="1">
      <c r="A130" s="197">
        <v>13423.52</v>
      </c>
      <c r="B130" s="186">
        <f t="shared" ref="B130:B140" si="41">+B129+A130</f>
        <v>19340.169999999998</v>
      </c>
      <c r="C130" s="196">
        <f t="shared" si="28"/>
        <v>160.11999999999898</v>
      </c>
      <c r="D130" s="258">
        <v>7830.2000000000016</v>
      </c>
      <c r="E130" s="233"/>
      <c r="F130" s="233"/>
      <c r="G130" s="421">
        <v>46054</v>
      </c>
      <c r="H130" s="422">
        <f t="shared" si="29"/>
        <v>159.80000000000001</v>
      </c>
      <c r="I130" s="204">
        <v>43132</v>
      </c>
      <c r="J130" s="201">
        <f t="shared" si="33"/>
        <v>159.80000000000001</v>
      </c>
      <c r="K130" s="259">
        <f t="shared" si="39"/>
        <v>159.80000000000001</v>
      </c>
      <c r="L130" s="201">
        <f t="shared" si="39"/>
        <v>159.80000000000001</v>
      </c>
      <c r="M130" s="201">
        <f t="shared" si="36"/>
        <v>159.80000000000001</v>
      </c>
      <c r="N130" s="259">
        <f t="shared" si="40"/>
        <v>159.80000000000001</v>
      </c>
      <c r="O130" s="259">
        <f t="shared" si="40"/>
        <v>159.80000000000001</v>
      </c>
      <c r="P130" s="259">
        <f t="shared" si="40"/>
        <v>159.80000000000001</v>
      </c>
      <c r="Q130" s="259">
        <f t="shared" si="40"/>
        <v>159.80000000000001</v>
      </c>
      <c r="R130" s="259">
        <f t="shared" si="40"/>
        <v>159.80000000000001</v>
      </c>
      <c r="S130" s="259">
        <f t="shared" si="40"/>
        <v>159.80000000000001</v>
      </c>
      <c r="T130" s="259">
        <f t="shared" si="40"/>
        <v>159.80000000000001</v>
      </c>
      <c r="U130" s="202">
        <f t="shared" si="40"/>
        <v>159.80000000000001</v>
      </c>
      <c r="V130" s="203">
        <f t="shared" si="31"/>
        <v>1917.5999999999997</v>
      </c>
      <c r="W130" s="354">
        <f t="shared" si="32"/>
        <v>5912.6000000000022</v>
      </c>
      <c r="X130" s="333"/>
    </row>
    <row r="131" spans="1:24" s="149" customFormat="1" ht="13.5" customHeight="1">
      <c r="A131" s="197">
        <v>19300.59</v>
      </c>
      <c r="B131" s="186">
        <f t="shared" si="41"/>
        <v>38640.759999999995</v>
      </c>
      <c r="C131" s="196">
        <f t="shared" si="28"/>
        <v>229.68000000000029</v>
      </c>
      <c r="D131" s="258">
        <v>11488.41</v>
      </c>
      <c r="E131" s="233"/>
      <c r="F131" s="233"/>
      <c r="G131" s="421">
        <v>46082</v>
      </c>
      <c r="H131" s="422">
        <f t="shared" si="29"/>
        <v>229.77</v>
      </c>
      <c r="I131" s="204">
        <v>43160</v>
      </c>
      <c r="J131" s="201">
        <f t="shared" si="33"/>
        <v>229.77</v>
      </c>
      <c r="K131" s="259">
        <f t="shared" si="39"/>
        <v>229.77</v>
      </c>
      <c r="L131" s="201">
        <f t="shared" si="39"/>
        <v>229.77</v>
      </c>
      <c r="M131" s="201">
        <f t="shared" si="36"/>
        <v>229.77</v>
      </c>
      <c r="N131" s="259">
        <f t="shared" si="40"/>
        <v>229.77</v>
      </c>
      <c r="O131" s="259">
        <f t="shared" si="40"/>
        <v>229.77</v>
      </c>
      <c r="P131" s="259">
        <f t="shared" si="40"/>
        <v>229.77</v>
      </c>
      <c r="Q131" s="259">
        <f t="shared" si="40"/>
        <v>229.77</v>
      </c>
      <c r="R131" s="259">
        <f t="shared" si="40"/>
        <v>229.77</v>
      </c>
      <c r="S131" s="259">
        <f t="shared" si="40"/>
        <v>229.77</v>
      </c>
      <c r="T131" s="259">
        <f t="shared" si="40"/>
        <v>229.77</v>
      </c>
      <c r="U131" s="202">
        <f t="shared" si="40"/>
        <v>229.77</v>
      </c>
      <c r="V131" s="203">
        <f t="shared" si="31"/>
        <v>2757.2400000000002</v>
      </c>
      <c r="W131" s="354">
        <f t="shared" si="32"/>
        <v>8731.17</v>
      </c>
      <c r="X131" s="333"/>
    </row>
    <row r="132" spans="1:24" s="149" customFormat="1" ht="13.5" customHeight="1">
      <c r="A132" s="197">
        <v>7805.54</v>
      </c>
      <c r="B132" s="186">
        <f t="shared" si="41"/>
        <v>46446.299999999996</v>
      </c>
      <c r="C132" s="196">
        <f t="shared" si="28"/>
        <v>93.179999999999382</v>
      </c>
      <c r="D132" s="258">
        <v>3797.9599999999996</v>
      </c>
      <c r="E132" s="233"/>
      <c r="F132" s="233"/>
      <c r="G132" s="421">
        <v>46113</v>
      </c>
      <c r="H132" s="422">
        <f t="shared" si="29"/>
        <v>92.92</v>
      </c>
      <c r="I132" s="204">
        <v>43191</v>
      </c>
      <c r="J132" s="201">
        <f t="shared" si="33"/>
        <v>92.92</v>
      </c>
      <c r="K132" s="259">
        <f t="shared" si="39"/>
        <v>92.92</v>
      </c>
      <c r="L132" s="201">
        <f t="shared" si="39"/>
        <v>92.92</v>
      </c>
      <c r="M132" s="201">
        <f>IF(M$7&lt;$I132,"",IF(M$7=$I132,+$C132,IF(M$7&lt;=$G132,+(ROUND(($A132-$C132)/83,2)),"- - DONE - -")))+156.87+156.87</f>
        <v>406.66</v>
      </c>
      <c r="N132" s="259">
        <f t="shared" si="40"/>
        <v>92.92</v>
      </c>
      <c r="O132" s="259">
        <f t="shared" si="40"/>
        <v>92.92</v>
      </c>
      <c r="P132" s="259">
        <f t="shared" si="40"/>
        <v>92.92</v>
      </c>
      <c r="Q132" s="259">
        <f t="shared" si="40"/>
        <v>92.92</v>
      </c>
      <c r="R132" s="259">
        <f t="shared" si="40"/>
        <v>92.92</v>
      </c>
      <c r="S132" s="259">
        <f t="shared" si="40"/>
        <v>92.92</v>
      </c>
      <c r="T132" s="259">
        <f t="shared" si="40"/>
        <v>92.92</v>
      </c>
      <c r="U132" s="202">
        <f t="shared" si="40"/>
        <v>92.92</v>
      </c>
      <c r="V132" s="203">
        <f t="shared" si="31"/>
        <v>1428.7800000000002</v>
      </c>
      <c r="W132" s="354">
        <f t="shared" si="32"/>
        <v>2369.1799999999994</v>
      </c>
      <c r="X132" s="333"/>
    </row>
    <row r="133" spans="1:24" s="149" customFormat="1" ht="13.5" customHeight="1">
      <c r="A133" s="197">
        <v>20937.36</v>
      </c>
      <c r="B133" s="186">
        <f t="shared" si="41"/>
        <v>67383.66</v>
      </c>
      <c r="C133" s="196">
        <f t="shared" si="28"/>
        <v>249.61000000000058</v>
      </c>
      <c r="D133" s="258">
        <v>12961.36</v>
      </c>
      <c r="E133" s="233"/>
      <c r="F133" s="233"/>
      <c r="G133" s="421">
        <v>46143</v>
      </c>
      <c r="H133" s="422">
        <f t="shared" si="29"/>
        <v>249.25</v>
      </c>
      <c r="I133" s="204">
        <v>43221</v>
      </c>
      <c r="J133" s="201">
        <f t="shared" si="33"/>
        <v>249.25</v>
      </c>
      <c r="K133" s="259">
        <f t="shared" si="39"/>
        <v>249.25</v>
      </c>
      <c r="L133" s="201">
        <f t="shared" si="39"/>
        <v>249.25</v>
      </c>
      <c r="M133" s="201">
        <f t="shared" ref="M133:M176" si="42">IF(M$7&lt;$I133,"",IF(M$7=$I133,+$C133,IF(M$7&lt;=$G133,+(ROUND(($A133-$C133)/83,2)),"- - DONE - -")))</f>
        <v>249.25</v>
      </c>
      <c r="N133" s="259">
        <f t="shared" si="40"/>
        <v>249.25</v>
      </c>
      <c r="O133" s="259">
        <f t="shared" si="40"/>
        <v>249.25</v>
      </c>
      <c r="P133" s="259">
        <f t="shared" si="40"/>
        <v>249.25</v>
      </c>
      <c r="Q133" s="259">
        <f t="shared" si="40"/>
        <v>249.25</v>
      </c>
      <c r="R133" s="259">
        <f t="shared" si="40"/>
        <v>249.25</v>
      </c>
      <c r="S133" s="259">
        <f t="shared" si="40"/>
        <v>249.25</v>
      </c>
      <c r="T133" s="259">
        <f t="shared" si="40"/>
        <v>249.25</v>
      </c>
      <c r="U133" s="202">
        <f t="shared" si="40"/>
        <v>249.25</v>
      </c>
      <c r="V133" s="203">
        <f t="shared" si="31"/>
        <v>2991</v>
      </c>
      <c r="W133" s="354">
        <f t="shared" si="32"/>
        <v>9970.36</v>
      </c>
      <c r="X133" s="333"/>
    </row>
    <row r="134" spans="1:24" s="149" customFormat="1" ht="13.5" customHeight="1">
      <c r="A134" s="197">
        <v>11131.62</v>
      </c>
      <c r="B134" s="186">
        <f t="shared" si="41"/>
        <v>78515.28</v>
      </c>
      <c r="C134" s="196">
        <f t="shared" si="28"/>
        <v>132.45999999999913</v>
      </c>
      <c r="D134" s="258">
        <v>7023.5000000000018</v>
      </c>
      <c r="E134" s="233"/>
      <c r="F134" s="233"/>
      <c r="G134" s="421">
        <v>46174</v>
      </c>
      <c r="H134" s="422">
        <f t="shared" si="29"/>
        <v>132.52000000000001</v>
      </c>
      <c r="I134" s="204">
        <v>43252</v>
      </c>
      <c r="J134" s="201">
        <f t="shared" si="33"/>
        <v>132.52000000000001</v>
      </c>
      <c r="K134" s="259">
        <f t="shared" si="39"/>
        <v>132.52000000000001</v>
      </c>
      <c r="L134" s="201">
        <f t="shared" si="39"/>
        <v>132.52000000000001</v>
      </c>
      <c r="M134" s="201">
        <f t="shared" si="42"/>
        <v>132.52000000000001</v>
      </c>
      <c r="N134" s="259">
        <f t="shared" si="40"/>
        <v>132.52000000000001</v>
      </c>
      <c r="O134" s="259">
        <f t="shared" si="40"/>
        <v>132.52000000000001</v>
      </c>
      <c r="P134" s="259">
        <f t="shared" si="40"/>
        <v>132.52000000000001</v>
      </c>
      <c r="Q134" s="259">
        <f t="shared" si="40"/>
        <v>132.52000000000001</v>
      </c>
      <c r="R134" s="259">
        <f t="shared" si="40"/>
        <v>132.52000000000001</v>
      </c>
      <c r="S134" s="259">
        <f t="shared" si="40"/>
        <v>132.52000000000001</v>
      </c>
      <c r="T134" s="259">
        <f t="shared" si="40"/>
        <v>132.52000000000001</v>
      </c>
      <c r="U134" s="202">
        <f t="shared" si="40"/>
        <v>132.52000000000001</v>
      </c>
      <c r="V134" s="203">
        <f t="shared" si="31"/>
        <v>1590.24</v>
      </c>
      <c r="W134" s="354">
        <f t="shared" si="32"/>
        <v>5433.260000000002</v>
      </c>
      <c r="X134" s="333"/>
    </row>
    <row r="135" spans="1:24" s="149" customFormat="1" ht="13.5" customHeight="1">
      <c r="A135" s="197">
        <v>11718.97</v>
      </c>
      <c r="B135" s="186">
        <f t="shared" si="41"/>
        <v>90234.25</v>
      </c>
      <c r="C135" s="196">
        <f t="shared" si="28"/>
        <v>139.63999999999942</v>
      </c>
      <c r="D135" s="258">
        <v>7533.670000000001</v>
      </c>
      <c r="E135" s="233"/>
      <c r="F135" s="233"/>
      <c r="G135" s="421">
        <v>46204</v>
      </c>
      <c r="H135" s="422">
        <f t="shared" si="29"/>
        <v>139.51</v>
      </c>
      <c r="I135" s="204">
        <v>43282</v>
      </c>
      <c r="J135" s="201">
        <f t="shared" si="33"/>
        <v>139.51</v>
      </c>
      <c r="K135" s="259">
        <f t="shared" si="39"/>
        <v>139.51</v>
      </c>
      <c r="L135" s="201">
        <f t="shared" si="39"/>
        <v>139.51</v>
      </c>
      <c r="M135" s="201">
        <f t="shared" si="42"/>
        <v>139.51</v>
      </c>
      <c r="N135" s="259">
        <f t="shared" si="40"/>
        <v>139.51</v>
      </c>
      <c r="O135" s="259">
        <f t="shared" si="40"/>
        <v>139.51</v>
      </c>
      <c r="P135" s="259">
        <f t="shared" si="40"/>
        <v>139.51</v>
      </c>
      <c r="Q135" s="259">
        <f t="shared" si="40"/>
        <v>139.51</v>
      </c>
      <c r="R135" s="259">
        <f t="shared" si="40"/>
        <v>139.51</v>
      </c>
      <c r="S135" s="259">
        <f t="shared" si="40"/>
        <v>139.51</v>
      </c>
      <c r="T135" s="259">
        <f t="shared" si="40"/>
        <v>139.51</v>
      </c>
      <c r="U135" s="202">
        <f t="shared" si="40"/>
        <v>139.51</v>
      </c>
      <c r="V135" s="203">
        <f t="shared" si="31"/>
        <v>1674.12</v>
      </c>
      <c r="W135" s="354">
        <f t="shared" si="32"/>
        <v>5859.5500000000011</v>
      </c>
      <c r="X135" s="333"/>
    </row>
    <row r="136" spans="1:24" s="149" customFormat="1" ht="13.5" customHeight="1">
      <c r="A136" s="197">
        <v>22288.71</v>
      </c>
      <c r="B136" s="186">
        <f t="shared" si="41"/>
        <v>112522.95999999999</v>
      </c>
      <c r="C136" s="196">
        <f t="shared" si="28"/>
        <v>265.4900000000016</v>
      </c>
      <c r="D136" s="258">
        <v>14593.849999999997</v>
      </c>
      <c r="E136" s="233"/>
      <c r="F136" s="233"/>
      <c r="G136" s="421">
        <v>46235</v>
      </c>
      <c r="H136" s="422">
        <f t="shared" si="29"/>
        <v>265.33999999999997</v>
      </c>
      <c r="I136" s="204">
        <v>43313</v>
      </c>
      <c r="J136" s="201">
        <f t="shared" si="33"/>
        <v>265.33999999999997</v>
      </c>
      <c r="K136" s="259">
        <f t="shared" si="39"/>
        <v>265.33999999999997</v>
      </c>
      <c r="L136" s="201">
        <f t="shared" si="39"/>
        <v>265.33999999999997</v>
      </c>
      <c r="M136" s="201">
        <f t="shared" si="42"/>
        <v>265.33999999999997</v>
      </c>
      <c r="N136" s="259">
        <f t="shared" si="40"/>
        <v>265.33999999999997</v>
      </c>
      <c r="O136" s="259">
        <f t="shared" si="40"/>
        <v>265.33999999999997</v>
      </c>
      <c r="P136" s="259">
        <f t="shared" si="40"/>
        <v>265.33999999999997</v>
      </c>
      <c r="Q136" s="259">
        <f t="shared" si="40"/>
        <v>265.33999999999997</v>
      </c>
      <c r="R136" s="259">
        <f t="shared" si="40"/>
        <v>265.33999999999997</v>
      </c>
      <c r="S136" s="259">
        <f t="shared" si="40"/>
        <v>265.33999999999997</v>
      </c>
      <c r="T136" s="259">
        <f t="shared" si="40"/>
        <v>265.33999999999997</v>
      </c>
      <c r="U136" s="202">
        <f t="shared" si="40"/>
        <v>265.33999999999997</v>
      </c>
      <c r="V136" s="203">
        <f t="shared" si="31"/>
        <v>3184.0800000000004</v>
      </c>
      <c r="W136" s="354">
        <f t="shared" si="32"/>
        <v>11409.769999999997</v>
      </c>
      <c r="X136" s="333"/>
    </row>
    <row r="137" spans="1:24" s="149" customFormat="1" ht="13.5" customHeight="1">
      <c r="A137" s="197">
        <v>21564.639999999999</v>
      </c>
      <c r="B137" s="186">
        <f t="shared" si="41"/>
        <v>134087.59999999998</v>
      </c>
      <c r="C137" s="196">
        <f t="shared" ref="C137:C168" si="43">+A137-ROUND(A137/84,2)*83</f>
        <v>256.87999999999738</v>
      </c>
      <c r="D137" s="258">
        <v>14376.479999999994</v>
      </c>
      <c r="E137" s="233"/>
      <c r="F137" s="233"/>
      <c r="G137" s="421">
        <v>46266</v>
      </c>
      <c r="H137" s="422">
        <f t="shared" ref="H137:H168" si="44">+ROUND((+A137-C137)/83,2)</f>
        <v>256.72000000000003</v>
      </c>
      <c r="I137" s="204">
        <v>43344</v>
      </c>
      <c r="J137" s="201">
        <f t="shared" si="33"/>
        <v>256.72000000000003</v>
      </c>
      <c r="K137" s="259">
        <f t="shared" si="39"/>
        <v>256.72000000000003</v>
      </c>
      <c r="L137" s="201">
        <f t="shared" si="39"/>
        <v>256.72000000000003</v>
      </c>
      <c r="M137" s="201">
        <f t="shared" si="42"/>
        <v>256.72000000000003</v>
      </c>
      <c r="N137" s="259">
        <f t="shared" si="40"/>
        <v>256.72000000000003</v>
      </c>
      <c r="O137" s="259">
        <f t="shared" si="40"/>
        <v>256.72000000000003</v>
      </c>
      <c r="P137" s="259">
        <f t="shared" si="40"/>
        <v>256.72000000000003</v>
      </c>
      <c r="Q137" s="259">
        <f t="shared" si="40"/>
        <v>256.72000000000003</v>
      </c>
      <c r="R137" s="259">
        <f t="shared" si="40"/>
        <v>256.72000000000003</v>
      </c>
      <c r="S137" s="259">
        <f t="shared" si="40"/>
        <v>256.72000000000003</v>
      </c>
      <c r="T137" s="259">
        <f t="shared" si="40"/>
        <v>256.72000000000003</v>
      </c>
      <c r="U137" s="202">
        <f t="shared" si="40"/>
        <v>256.72000000000003</v>
      </c>
      <c r="V137" s="203">
        <f t="shared" ref="V137:V168" si="45">SUM(J137:U137)</f>
        <v>3080.6400000000012</v>
      </c>
      <c r="W137" s="354">
        <f t="shared" ref="W137:W152" si="46">D137-V137</f>
        <v>11295.839999999993</v>
      </c>
      <c r="X137" s="333"/>
    </row>
    <row r="138" spans="1:24" s="149" customFormat="1" ht="13.5" customHeight="1">
      <c r="A138" s="197">
        <v>14899.13</v>
      </c>
      <c r="B138" s="186">
        <f t="shared" si="41"/>
        <v>148986.72999999998</v>
      </c>
      <c r="C138" s="196">
        <f t="shared" si="43"/>
        <v>177.41999999999825</v>
      </c>
      <c r="D138" s="258">
        <v>10110.14</v>
      </c>
      <c r="E138" s="233"/>
      <c r="F138" s="233"/>
      <c r="G138" s="421">
        <v>46296</v>
      </c>
      <c r="H138" s="422">
        <f t="shared" si="44"/>
        <v>177.37</v>
      </c>
      <c r="I138" s="204">
        <v>43374</v>
      </c>
      <c r="J138" s="201">
        <f t="shared" ref="J138:J169" si="47">IF(J$7&lt;$I138,"",IF(J$7=$I138,+$C138,IF(J$7&lt;=$G138,+(ROUND(($A138-$C138)/83,2)),"- - DONE - -")))</f>
        <v>177.37</v>
      </c>
      <c r="K138" s="259">
        <f t="shared" si="39"/>
        <v>177.37</v>
      </c>
      <c r="L138" s="201">
        <f t="shared" si="39"/>
        <v>177.37</v>
      </c>
      <c r="M138" s="201">
        <f t="shared" si="42"/>
        <v>177.37</v>
      </c>
      <c r="N138" s="259">
        <f t="shared" ref="N138:U147" si="48">IF(N$7&lt;$I138,"",IF(N$7=$I138,+$C138,IF(N$7&lt;=$G138,+(ROUND(($A138-$C138)/83,2)),"- - DONE - -")))</f>
        <v>177.37</v>
      </c>
      <c r="O138" s="259">
        <f t="shared" si="48"/>
        <v>177.37</v>
      </c>
      <c r="P138" s="259">
        <f t="shared" si="48"/>
        <v>177.37</v>
      </c>
      <c r="Q138" s="259">
        <f t="shared" si="48"/>
        <v>177.37</v>
      </c>
      <c r="R138" s="259">
        <f t="shared" si="48"/>
        <v>177.37</v>
      </c>
      <c r="S138" s="259">
        <f t="shared" si="48"/>
        <v>177.37</v>
      </c>
      <c r="T138" s="259">
        <f t="shared" si="48"/>
        <v>177.37</v>
      </c>
      <c r="U138" s="202">
        <f t="shared" si="48"/>
        <v>177.37</v>
      </c>
      <c r="V138" s="203">
        <f t="shared" si="45"/>
        <v>2128.4399999999996</v>
      </c>
      <c r="W138" s="354">
        <f t="shared" si="46"/>
        <v>7981.7</v>
      </c>
      <c r="X138" s="333"/>
    </row>
    <row r="139" spans="1:24" s="149" customFormat="1" ht="13.5" customHeight="1">
      <c r="A139" s="197">
        <v>24584.06</v>
      </c>
      <c r="B139" s="186">
        <f t="shared" si="41"/>
        <v>173570.78999999998</v>
      </c>
      <c r="C139" s="196">
        <f t="shared" si="43"/>
        <v>292.45000000000073</v>
      </c>
      <c r="D139" s="258">
        <v>16974.64</v>
      </c>
      <c r="E139" s="233"/>
      <c r="F139" s="233"/>
      <c r="G139" s="421">
        <v>46327</v>
      </c>
      <c r="H139" s="422">
        <f t="shared" si="44"/>
        <v>292.67</v>
      </c>
      <c r="I139" s="204">
        <v>43405</v>
      </c>
      <c r="J139" s="201">
        <f t="shared" si="47"/>
        <v>292.67</v>
      </c>
      <c r="K139" s="259">
        <f t="shared" si="39"/>
        <v>292.67</v>
      </c>
      <c r="L139" s="201">
        <f t="shared" si="39"/>
        <v>292.67</v>
      </c>
      <c r="M139" s="201">
        <f t="shared" si="42"/>
        <v>292.67</v>
      </c>
      <c r="N139" s="259">
        <f t="shared" si="48"/>
        <v>292.67</v>
      </c>
      <c r="O139" s="259">
        <f t="shared" si="48"/>
        <v>292.67</v>
      </c>
      <c r="P139" s="259">
        <f t="shared" si="48"/>
        <v>292.67</v>
      </c>
      <c r="Q139" s="259">
        <f t="shared" si="48"/>
        <v>292.67</v>
      </c>
      <c r="R139" s="259">
        <f t="shared" si="48"/>
        <v>292.67</v>
      </c>
      <c r="S139" s="259">
        <f t="shared" si="48"/>
        <v>292.67</v>
      </c>
      <c r="T139" s="259">
        <f t="shared" si="48"/>
        <v>292.67</v>
      </c>
      <c r="U139" s="202">
        <f t="shared" si="48"/>
        <v>292.67</v>
      </c>
      <c r="V139" s="203">
        <f t="shared" si="45"/>
        <v>3512.0400000000004</v>
      </c>
      <c r="W139" s="354">
        <f t="shared" si="46"/>
        <v>13462.599999999999</v>
      </c>
      <c r="X139" s="333"/>
    </row>
    <row r="140" spans="1:24" s="149" customFormat="1" ht="13.5" customHeight="1">
      <c r="A140" s="320">
        <v>7009.07</v>
      </c>
      <c r="B140" s="321">
        <f t="shared" si="41"/>
        <v>180579.86</v>
      </c>
      <c r="C140" s="331">
        <f t="shared" si="43"/>
        <v>83.550000000000182</v>
      </c>
      <c r="D140" s="322">
        <v>4923.07</v>
      </c>
      <c r="E140" s="427"/>
      <c r="F140" s="427"/>
      <c r="G140" s="324">
        <v>46357</v>
      </c>
      <c r="H140" s="420">
        <f t="shared" si="44"/>
        <v>83.44</v>
      </c>
      <c r="I140" s="326">
        <v>43435</v>
      </c>
      <c r="J140" s="327">
        <f t="shared" si="47"/>
        <v>83.44</v>
      </c>
      <c r="K140" s="330">
        <f t="shared" si="39"/>
        <v>83.44</v>
      </c>
      <c r="L140" s="327">
        <f t="shared" si="39"/>
        <v>83.44</v>
      </c>
      <c r="M140" s="327">
        <f t="shared" si="42"/>
        <v>83.44</v>
      </c>
      <c r="N140" s="330">
        <f t="shared" si="48"/>
        <v>83.44</v>
      </c>
      <c r="O140" s="330">
        <f t="shared" si="48"/>
        <v>83.44</v>
      </c>
      <c r="P140" s="330">
        <f t="shared" si="48"/>
        <v>83.44</v>
      </c>
      <c r="Q140" s="330">
        <f t="shared" si="48"/>
        <v>83.44</v>
      </c>
      <c r="R140" s="330">
        <f t="shared" si="48"/>
        <v>83.44</v>
      </c>
      <c r="S140" s="330">
        <f t="shared" si="48"/>
        <v>83.44</v>
      </c>
      <c r="T140" s="330">
        <f t="shared" si="48"/>
        <v>83.44</v>
      </c>
      <c r="U140" s="328">
        <f t="shared" si="48"/>
        <v>83.44</v>
      </c>
      <c r="V140" s="329">
        <f t="shared" si="45"/>
        <v>1001.2800000000002</v>
      </c>
      <c r="W140" s="330">
        <f t="shared" si="46"/>
        <v>3921.7899999999995</v>
      </c>
      <c r="X140" s="333"/>
    </row>
    <row r="141" spans="1:24" s="149" customFormat="1" ht="13.5" customHeight="1">
      <c r="A141" s="449">
        <v>17538.72</v>
      </c>
      <c r="B141" s="186">
        <f>A141</f>
        <v>17538.72</v>
      </c>
      <c r="C141" s="196">
        <f t="shared" si="43"/>
        <v>209.15000000000146</v>
      </c>
      <c r="D141" s="258">
        <v>12527.400000000001</v>
      </c>
      <c r="E141" s="233"/>
      <c r="F141" s="233"/>
      <c r="G141" s="421">
        <v>46388</v>
      </c>
      <c r="H141" s="422">
        <f t="shared" si="44"/>
        <v>208.79</v>
      </c>
      <c r="I141" s="204">
        <v>43466</v>
      </c>
      <c r="J141" s="201">
        <f t="shared" si="47"/>
        <v>208.79</v>
      </c>
      <c r="K141" s="259">
        <f t="shared" si="39"/>
        <v>208.79</v>
      </c>
      <c r="L141" s="201">
        <f t="shared" si="39"/>
        <v>208.79</v>
      </c>
      <c r="M141" s="201">
        <f t="shared" si="42"/>
        <v>208.79</v>
      </c>
      <c r="N141" s="259">
        <f t="shared" si="48"/>
        <v>208.79</v>
      </c>
      <c r="O141" s="259">
        <f t="shared" si="48"/>
        <v>208.79</v>
      </c>
      <c r="P141" s="259">
        <f t="shared" si="48"/>
        <v>208.79</v>
      </c>
      <c r="Q141" s="259">
        <f t="shared" si="48"/>
        <v>208.79</v>
      </c>
      <c r="R141" s="259">
        <f t="shared" si="48"/>
        <v>208.79</v>
      </c>
      <c r="S141" s="259">
        <f t="shared" si="48"/>
        <v>208.79</v>
      </c>
      <c r="T141" s="259">
        <f t="shared" si="48"/>
        <v>208.79</v>
      </c>
      <c r="U141" s="202">
        <f t="shared" si="48"/>
        <v>208.79</v>
      </c>
      <c r="V141" s="203">
        <f t="shared" si="45"/>
        <v>2505.48</v>
      </c>
      <c r="W141" s="354">
        <f t="shared" si="46"/>
        <v>10021.920000000002</v>
      </c>
      <c r="X141" s="333"/>
    </row>
    <row r="142" spans="1:24" s="149" customFormat="1" ht="13.5" customHeight="1">
      <c r="A142" s="449">
        <v>8961.15</v>
      </c>
      <c r="B142" s="186">
        <f t="shared" ref="B142:B152" si="49">+B141+A142</f>
        <v>26499.870000000003</v>
      </c>
      <c r="C142" s="196">
        <f t="shared" si="43"/>
        <v>106.70999999999913</v>
      </c>
      <c r="D142" s="258">
        <v>6507.48</v>
      </c>
      <c r="E142" s="233"/>
      <c r="F142" s="233"/>
      <c r="G142" s="421">
        <v>46419</v>
      </c>
      <c r="H142" s="422">
        <f t="shared" si="44"/>
        <v>106.68</v>
      </c>
      <c r="I142" s="204">
        <v>43497</v>
      </c>
      <c r="J142" s="201">
        <f t="shared" si="47"/>
        <v>106.68</v>
      </c>
      <c r="K142" s="259">
        <f t="shared" si="39"/>
        <v>106.68</v>
      </c>
      <c r="L142" s="201">
        <f t="shared" si="39"/>
        <v>106.68</v>
      </c>
      <c r="M142" s="201">
        <f t="shared" si="42"/>
        <v>106.68</v>
      </c>
      <c r="N142" s="259">
        <f t="shared" si="48"/>
        <v>106.68</v>
      </c>
      <c r="O142" s="259">
        <f t="shared" si="48"/>
        <v>106.68</v>
      </c>
      <c r="P142" s="259">
        <f t="shared" si="48"/>
        <v>106.68</v>
      </c>
      <c r="Q142" s="259">
        <f t="shared" si="48"/>
        <v>106.68</v>
      </c>
      <c r="R142" s="259">
        <f t="shared" si="48"/>
        <v>106.68</v>
      </c>
      <c r="S142" s="259">
        <f t="shared" si="48"/>
        <v>106.68</v>
      </c>
      <c r="T142" s="259">
        <f t="shared" si="48"/>
        <v>106.68</v>
      </c>
      <c r="U142" s="202">
        <f t="shared" si="48"/>
        <v>106.68</v>
      </c>
      <c r="V142" s="203">
        <f t="shared" si="45"/>
        <v>1280.1600000000005</v>
      </c>
      <c r="W142" s="354">
        <f t="shared" si="46"/>
        <v>5227.3199999999988</v>
      </c>
      <c r="X142" s="333"/>
    </row>
    <row r="143" spans="1:24" s="149" customFormat="1" ht="13.5" customHeight="1">
      <c r="A143" s="449">
        <v>13572.95</v>
      </c>
      <c r="B143" s="186">
        <f t="shared" si="49"/>
        <v>40072.820000000007</v>
      </c>
      <c r="C143" s="196">
        <f t="shared" si="43"/>
        <v>161.80999999999949</v>
      </c>
      <c r="D143" s="258">
        <v>10018.190000000002</v>
      </c>
      <c r="E143" s="233"/>
      <c r="F143" s="233"/>
      <c r="G143" s="421">
        <v>46447</v>
      </c>
      <c r="H143" s="422">
        <f t="shared" si="44"/>
        <v>161.58000000000001</v>
      </c>
      <c r="I143" s="204">
        <v>43525</v>
      </c>
      <c r="J143" s="201">
        <f t="shared" si="47"/>
        <v>161.58000000000001</v>
      </c>
      <c r="K143" s="259">
        <f t="shared" si="39"/>
        <v>161.58000000000001</v>
      </c>
      <c r="L143" s="201">
        <f t="shared" si="39"/>
        <v>161.58000000000001</v>
      </c>
      <c r="M143" s="201">
        <f t="shared" si="42"/>
        <v>161.58000000000001</v>
      </c>
      <c r="N143" s="259">
        <f t="shared" si="48"/>
        <v>161.58000000000001</v>
      </c>
      <c r="O143" s="259">
        <f t="shared" si="48"/>
        <v>161.58000000000001</v>
      </c>
      <c r="P143" s="259">
        <f t="shared" si="48"/>
        <v>161.58000000000001</v>
      </c>
      <c r="Q143" s="259">
        <f t="shared" si="48"/>
        <v>161.58000000000001</v>
      </c>
      <c r="R143" s="259">
        <f t="shared" si="48"/>
        <v>161.58000000000001</v>
      </c>
      <c r="S143" s="259">
        <f t="shared" si="48"/>
        <v>161.58000000000001</v>
      </c>
      <c r="T143" s="259">
        <f t="shared" si="48"/>
        <v>161.58000000000001</v>
      </c>
      <c r="U143" s="202">
        <f t="shared" si="48"/>
        <v>161.58000000000001</v>
      </c>
      <c r="V143" s="203">
        <f t="shared" si="45"/>
        <v>1938.9599999999998</v>
      </c>
      <c r="W143" s="354">
        <f t="shared" si="46"/>
        <v>8079.2300000000023</v>
      </c>
      <c r="X143" s="333"/>
    </row>
    <row r="144" spans="1:24" s="149" customFormat="1" ht="13.5" customHeight="1">
      <c r="A144" s="449">
        <v>20410.580000000002</v>
      </c>
      <c r="B144" s="186">
        <f t="shared" si="49"/>
        <v>60483.400000000009</v>
      </c>
      <c r="C144" s="196">
        <f t="shared" si="43"/>
        <v>243.2400000000016</v>
      </c>
      <c r="D144" s="258">
        <v>15308.000000000002</v>
      </c>
      <c r="E144" s="233"/>
      <c r="F144" s="233"/>
      <c r="G144" s="421">
        <v>46478</v>
      </c>
      <c r="H144" s="422">
        <f t="shared" si="44"/>
        <v>242.98</v>
      </c>
      <c r="I144" s="204">
        <v>43556</v>
      </c>
      <c r="J144" s="201">
        <f t="shared" si="47"/>
        <v>242.98</v>
      </c>
      <c r="K144" s="259">
        <f t="shared" si="39"/>
        <v>242.98</v>
      </c>
      <c r="L144" s="201">
        <f t="shared" si="39"/>
        <v>242.98</v>
      </c>
      <c r="M144" s="201">
        <f t="shared" si="42"/>
        <v>242.98</v>
      </c>
      <c r="N144" s="259">
        <f t="shared" si="48"/>
        <v>242.98</v>
      </c>
      <c r="O144" s="259">
        <f t="shared" si="48"/>
        <v>242.98</v>
      </c>
      <c r="P144" s="259">
        <f t="shared" si="48"/>
        <v>242.98</v>
      </c>
      <c r="Q144" s="259">
        <f t="shared" si="48"/>
        <v>242.98</v>
      </c>
      <c r="R144" s="259">
        <f t="shared" si="48"/>
        <v>242.98</v>
      </c>
      <c r="S144" s="259">
        <f t="shared" si="48"/>
        <v>242.98</v>
      </c>
      <c r="T144" s="259">
        <f t="shared" si="48"/>
        <v>242.98</v>
      </c>
      <c r="U144" s="202">
        <f t="shared" si="48"/>
        <v>242.98</v>
      </c>
      <c r="V144" s="203">
        <f t="shared" si="45"/>
        <v>2915.7599999999998</v>
      </c>
      <c r="W144" s="354">
        <f t="shared" si="46"/>
        <v>12392.240000000002</v>
      </c>
      <c r="X144" s="333"/>
    </row>
    <row r="145" spans="1:24" s="149" customFormat="1" ht="13.5" customHeight="1">
      <c r="A145" s="449">
        <v>11366.98</v>
      </c>
      <c r="B145" s="186">
        <f t="shared" si="49"/>
        <v>71850.38</v>
      </c>
      <c r="C145" s="196">
        <f t="shared" si="43"/>
        <v>135.42000000000007</v>
      </c>
      <c r="D145" s="258">
        <v>8660.58</v>
      </c>
      <c r="E145" s="233"/>
      <c r="F145" s="233"/>
      <c r="G145" s="421">
        <v>46508</v>
      </c>
      <c r="H145" s="422">
        <f t="shared" si="44"/>
        <v>135.32</v>
      </c>
      <c r="I145" s="204">
        <v>43586</v>
      </c>
      <c r="J145" s="201">
        <f t="shared" si="47"/>
        <v>135.32</v>
      </c>
      <c r="K145" s="259">
        <f t="shared" si="39"/>
        <v>135.32</v>
      </c>
      <c r="L145" s="201">
        <f t="shared" si="39"/>
        <v>135.32</v>
      </c>
      <c r="M145" s="201">
        <f t="shared" si="42"/>
        <v>135.32</v>
      </c>
      <c r="N145" s="259">
        <f t="shared" si="48"/>
        <v>135.32</v>
      </c>
      <c r="O145" s="259">
        <f t="shared" si="48"/>
        <v>135.32</v>
      </c>
      <c r="P145" s="259">
        <f t="shared" si="48"/>
        <v>135.32</v>
      </c>
      <c r="Q145" s="259">
        <f t="shared" si="48"/>
        <v>135.32</v>
      </c>
      <c r="R145" s="259">
        <f t="shared" si="48"/>
        <v>135.32</v>
      </c>
      <c r="S145" s="259">
        <f t="shared" si="48"/>
        <v>135.32</v>
      </c>
      <c r="T145" s="259">
        <f t="shared" si="48"/>
        <v>135.32</v>
      </c>
      <c r="U145" s="202">
        <f t="shared" si="48"/>
        <v>135.32</v>
      </c>
      <c r="V145" s="203">
        <f t="shared" si="45"/>
        <v>1623.8399999999995</v>
      </c>
      <c r="W145" s="354">
        <f t="shared" si="46"/>
        <v>7036.7400000000007</v>
      </c>
      <c r="X145" s="333"/>
    </row>
    <row r="146" spans="1:24" s="149" customFormat="1" ht="13.5" customHeight="1">
      <c r="A146" s="449">
        <v>16557.05</v>
      </c>
      <c r="B146" s="186">
        <f t="shared" si="49"/>
        <v>88407.430000000008</v>
      </c>
      <c r="C146" s="196">
        <f t="shared" si="43"/>
        <v>196.91999999999825</v>
      </c>
      <c r="D146" s="258">
        <v>12811.96</v>
      </c>
      <c r="E146" s="233"/>
      <c r="F146" s="233"/>
      <c r="G146" s="421">
        <v>46539</v>
      </c>
      <c r="H146" s="422">
        <f t="shared" si="44"/>
        <v>197.11</v>
      </c>
      <c r="I146" s="204">
        <v>43617</v>
      </c>
      <c r="J146" s="201">
        <f t="shared" si="47"/>
        <v>197.11</v>
      </c>
      <c r="K146" s="259">
        <f t="shared" si="39"/>
        <v>197.11</v>
      </c>
      <c r="L146" s="201">
        <f t="shared" si="39"/>
        <v>197.11</v>
      </c>
      <c r="M146" s="201">
        <f t="shared" si="42"/>
        <v>197.11</v>
      </c>
      <c r="N146" s="259">
        <f t="shared" si="48"/>
        <v>197.11</v>
      </c>
      <c r="O146" s="259">
        <f t="shared" si="48"/>
        <v>197.11</v>
      </c>
      <c r="P146" s="259">
        <f t="shared" si="48"/>
        <v>197.11</v>
      </c>
      <c r="Q146" s="259">
        <f t="shared" si="48"/>
        <v>197.11</v>
      </c>
      <c r="R146" s="259">
        <f t="shared" si="48"/>
        <v>197.11</v>
      </c>
      <c r="S146" s="259">
        <f t="shared" si="48"/>
        <v>197.11</v>
      </c>
      <c r="T146" s="259">
        <f t="shared" si="48"/>
        <v>197.11</v>
      </c>
      <c r="U146" s="202">
        <f t="shared" si="48"/>
        <v>197.11</v>
      </c>
      <c r="V146" s="203">
        <f t="shared" si="45"/>
        <v>2365.3200000000006</v>
      </c>
      <c r="W146" s="354">
        <f t="shared" si="46"/>
        <v>10446.64</v>
      </c>
      <c r="X146" s="333"/>
    </row>
    <row r="147" spans="1:24" s="149" customFormat="1" ht="13.5" customHeight="1">
      <c r="A147" s="449">
        <v>11142.53</v>
      </c>
      <c r="B147" s="186">
        <f t="shared" si="49"/>
        <v>99549.96</v>
      </c>
      <c r="C147" s="196">
        <f t="shared" si="43"/>
        <v>132.57999999999993</v>
      </c>
      <c r="D147" s="258">
        <v>8754.83</v>
      </c>
      <c r="E147" s="233"/>
      <c r="F147" s="233"/>
      <c r="G147" s="421">
        <v>46569</v>
      </c>
      <c r="H147" s="422">
        <f t="shared" si="44"/>
        <v>132.65</v>
      </c>
      <c r="I147" s="204">
        <v>43647</v>
      </c>
      <c r="J147" s="201">
        <f t="shared" si="47"/>
        <v>132.65</v>
      </c>
      <c r="K147" s="259">
        <f t="shared" si="39"/>
        <v>132.65</v>
      </c>
      <c r="L147" s="201">
        <f t="shared" si="39"/>
        <v>132.65</v>
      </c>
      <c r="M147" s="201">
        <f t="shared" si="42"/>
        <v>132.65</v>
      </c>
      <c r="N147" s="259">
        <f t="shared" si="48"/>
        <v>132.65</v>
      </c>
      <c r="O147" s="259">
        <f t="shared" si="48"/>
        <v>132.65</v>
      </c>
      <c r="P147" s="259">
        <f t="shared" si="48"/>
        <v>132.65</v>
      </c>
      <c r="Q147" s="259">
        <f t="shared" si="48"/>
        <v>132.65</v>
      </c>
      <c r="R147" s="259">
        <f t="shared" si="48"/>
        <v>132.65</v>
      </c>
      <c r="S147" s="259">
        <f t="shared" si="48"/>
        <v>132.65</v>
      </c>
      <c r="T147" s="259">
        <f t="shared" si="48"/>
        <v>132.65</v>
      </c>
      <c r="U147" s="202">
        <f t="shared" si="48"/>
        <v>132.65</v>
      </c>
      <c r="V147" s="203">
        <f t="shared" si="45"/>
        <v>1591.8000000000004</v>
      </c>
      <c r="W147" s="354">
        <f t="shared" si="46"/>
        <v>7163.03</v>
      </c>
      <c r="X147" s="333"/>
    </row>
    <row r="148" spans="1:24" s="149" customFormat="1" ht="13.5" customHeight="1">
      <c r="A148" s="449">
        <v>1747.79</v>
      </c>
      <c r="B148" s="186">
        <f t="shared" si="49"/>
        <v>101297.75</v>
      </c>
      <c r="C148" s="196">
        <f t="shared" si="43"/>
        <v>20.560000000000173</v>
      </c>
      <c r="D148" s="258">
        <v>1394.02</v>
      </c>
      <c r="E148" s="233"/>
      <c r="F148" s="233"/>
      <c r="G148" s="421">
        <v>46600</v>
      </c>
      <c r="H148" s="422">
        <f t="shared" si="44"/>
        <v>20.81</v>
      </c>
      <c r="I148" s="204">
        <v>43678</v>
      </c>
      <c r="J148" s="201">
        <f t="shared" si="47"/>
        <v>20.81</v>
      </c>
      <c r="K148" s="259">
        <f t="shared" ref="K148:L167" si="50">IF(K$7&lt;$I148,"",IF(K$7=$I148,+$C148,IF(K$7&lt;=$G148,+(ROUND(($A148-$C148)/83,2)),"- - DONE - -")))</f>
        <v>20.81</v>
      </c>
      <c r="L148" s="201">
        <f t="shared" si="50"/>
        <v>20.81</v>
      </c>
      <c r="M148" s="201">
        <f t="shared" si="42"/>
        <v>20.81</v>
      </c>
      <c r="N148" s="259">
        <f t="shared" ref="N148:U157" si="51">IF(N$7&lt;$I148,"",IF(N$7=$I148,+$C148,IF(N$7&lt;=$G148,+(ROUND(($A148-$C148)/83,2)),"- - DONE - -")))</f>
        <v>20.81</v>
      </c>
      <c r="O148" s="259">
        <f t="shared" si="51"/>
        <v>20.81</v>
      </c>
      <c r="P148" s="259">
        <f t="shared" si="51"/>
        <v>20.81</v>
      </c>
      <c r="Q148" s="259">
        <f t="shared" si="51"/>
        <v>20.81</v>
      </c>
      <c r="R148" s="259">
        <f t="shared" si="51"/>
        <v>20.81</v>
      </c>
      <c r="S148" s="259">
        <f t="shared" si="51"/>
        <v>20.81</v>
      </c>
      <c r="T148" s="259">
        <f t="shared" si="51"/>
        <v>20.81</v>
      </c>
      <c r="U148" s="202">
        <f t="shared" si="51"/>
        <v>20.81</v>
      </c>
      <c r="V148" s="203">
        <f t="shared" si="45"/>
        <v>249.72</v>
      </c>
      <c r="W148" s="354">
        <f t="shared" si="46"/>
        <v>1144.3</v>
      </c>
      <c r="X148" s="333"/>
    </row>
    <row r="149" spans="1:24" s="149" customFormat="1" ht="13.5" customHeight="1">
      <c r="A149" s="449">
        <v>17033.97</v>
      </c>
      <c r="B149" s="186">
        <f t="shared" si="49"/>
        <v>118331.72</v>
      </c>
      <c r="C149" s="196">
        <f t="shared" si="43"/>
        <v>202.40000000000146</v>
      </c>
      <c r="D149" s="258">
        <v>13789.330000000002</v>
      </c>
      <c r="E149" s="233"/>
      <c r="F149" s="233"/>
      <c r="G149" s="421">
        <v>46631</v>
      </c>
      <c r="H149" s="422">
        <f t="shared" si="44"/>
        <v>202.79</v>
      </c>
      <c r="I149" s="204">
        <v>43709</v>
      </c>
      <c r="J149" s="201">
        <f t="shared" si="47"/>
        <v>202.79</v>
      </c>
      <c r="K149" s="259">
        <f t="shared" si="50"/>
        <v>202.79</v>
      </c>
      <c r="L149" s="201">
        <f t="shared" si="50"/>
        <v>202.79</v>
      </c>
      <c r="M149" s="201">
        <f t="shared" si="42"/>
        <v>202.79</v>
      </c>
      <c r="N149" s="259">
        <f t="shared" si="51"/>
        <v>202.79</v>
      </c>
      <c r="O149" s="259">
        <f t="shared" si="51"/>
        <v>202.79</v>
      </c>
      <c r="P149" s="259">
        <f t="shared" si="51"/>
        <v>202.79</v>
      </c>
      <c r="Q149" s="259">
        <f t="shared" si="51"/>
        <v>202.79</v>
      </c>
      <c r="R149" s="259">
        <f t="shared" si="51"/>
        <v>202.79</v>
      </c>
      <c r="S149" s="259">
        <f t="shared" si="51"/>
        <v>202.79</v>
      </c>
      <c r="T149" s="259">
        <f t="shared" si="51"/>
        <v>202.79</v>
      </c>
      <c r="U149" s="202">
        <f t="shared" si="51"/>
        <v>202.79</v>
      </c>
      <c r="V149" s="203">
        <f t="shared" si="45"/>
        <v>2433.48</v>
      </c>
      <c r="W149" s="354">
        <f t="shared" si="46"/>
        <v>11355.850000000002</v>
      </c>
      <c r="X149" s="333"/>
    </row>
    <row r="150" spans="1:24" s="149" customFormat="1" ht="13.5" customHeight="1">
      <c r="A150" s="449">
        <v>34508.94</v>
      </c>
      <c r="B150" s="186">
        <f t="shared" si="49"/>
        <v>152840.66</v>
      </c>
      <c r="C150" s="196">
        <f t="shared" si="43"/>
        <v>410.88000000000466</v>
      </c>
      <c r="D150" s="258">
        <v>28346.640000000003</v>
      </c>
      <c r="E150" s="233"/>
      <c r="F150" s="233"/>
      <c r="G150" s="421">
        <v>46661</v>
      </c>
      <c r="H150" s="422">
        <f t="shared" si="44"/>
        <v>410.82</v>
      </c>
      <c r="I150" s="204">
        <v>43739</v>
      </c>
      <c r="J150" s="201">
        <f t="shared" si="47"/>
        <v>410.82</v>
      </c>
      <c r="K150" s="259">
        <f t="shared" si="50"/>
        <v>410.82</v>
      </c>
      <c r="L150" s="201">
        <f t="shared" si="50"/>
        <v>410.82</v>
      </c>
      <c r="M150" s="201">
        <f t="shared" si="42"/>
        <v>410.82</v>
      </c>
      <c r="N150" s="259">
        <f t="shared" si="51"/>
        <v>410.82</v>
      </c>
      <c r="O150" s="259">
        <f t="shared" si="51"/>
        <v>410.82</v>
      </c>
      <c r="P150" s="259">
        <f t="shared" si="51"/>
        <v>410.82</v>
      </c>
      <c r="Q150" s="259">
        <f t="shared" si="51"/>
        <v>410.82</v>
      </c>
      <c r="R150" s="259">
        <f t="shared" si="51"/>
        <v>410.82</v>
      </c>
      <c r="S150" s="259">
        <f t="shared" si="51"/>
        <v>410.82</v>
      </c>
      <c r="T150" s="259">
        <f t="shared" si="51"/>
        <v>410.82</v>
      </c>
      <c r="U150" s="202">
        <f t="shared" si="51"/>
        <v>410.82</v>
      </c>
      <c r="V150" s="203">
        <f t="shared" si="45"/>
        <v>4929.84</v>
      </c>
      <c r="W150" s="354">
        <f t="shared" si="46"/>
        <v>23416.800000000003</v>
      </c>
      <c r="X150" s="333"/>
    </row>
    <row r="151" spans="1:24" s="149" customFormat="1" ht="13.5" customHeight="1">
      <c r="A151" s="449">
        <v>12243.76</v>
      </c>
      <c r="B151" s="186">
        <f t="shared" si="49"/>
        <v>165084.42000000001</v>
      </c>
      <c r="C151" s="196">
        <f t="shared" si="43"/>
        <v>145.68000000000029</v>
      </c>
      <c r="D151" s="258">
        <v>10203.119999999999</v>
      </c>
      <c r="E151" s="233"/>
      <c r="F151" s="233"/>
      <c r="G151" s="421">
        <v>46692</v>
      </c>
      <c r="H151" s="422">
        <f t="shared" si="44"/>
        <v>145.76</v>
      </c>
      <c r="I151" s="204">
        <v>43770</v>
      </c>
      <c r="J151" s="201">
        <f t="shared" si="47"/>
        <v>145.76</v>
      </c>
      <c r="K151" s="259">
        <f t="shared" si="50"/>
        <v>145.76</v>
      </c>
      <c r="L151" s="201">
        <f t="shared" si="50"/>
        <v>145.76</v>
      </c>
      <c r="M151" s="201">
        <f t="shared" si="42"/>
        <v>145.76</v>
      </c>
      <c r="N151" s="259">
        <f t="shared" si="51"/>
        <v>145.76</v>
      </c>
      <c r="O151" s="259">
        <f t="shared" si="51"/>
        <v>145.76</v>
      </c>
      <c r="P151" s="259">
        <f t="shared" si="51"/>
        <v>145.76</v>
      </c>
      <c r="Q151" s="259">
        <f t="shared" si="51"/>
        <v>145.76</v>
      </c>
      <c r="R151" s="259">
        <f t="shared" si="51"/>
        <v>145.76</v>
      </c>
      <c r="S151" s="259">
        <f t="shared" si="51"/>
        <v>145.76</v>
      </c>
      <c r="T151" s="259">
        <f t="shared" si="51"/>
        <v>145.76</v>
      </c>
      <c r="U151" s="202">
        <f t="shared" si="51"/>
        <v>145.76</v>
      </c>
      <c r="V151" s="203">
        <f t="shared" si="45"/>
        <v>1749.12</v>
      </c>
      <c r="W151" s="354">
        <f t="shared" si="46"/>
        <v>8454</v>
      </c>
      <c r="X151" s="333"/>
    </row>
    <row r="152" spans="1:24" s="149" customFormat="1" ht="13.5" customHeight="1">
      <c r="A152" s="453">
        <v>6799.59</v>
      </c>
      <c r="B152" s="321">
        <f t="shared" si="49"/>
        <v>171884.01</v>
      </c>
      <c r="C152" s="331">
        <f t="shared" si="43"/>
        <v>80.739999999999782</v>
      </c>
      <c r="D152" s="322">
        <v>5747.24</v>
      </c>
      <c r="E152" s="427"/>
      <c r="F152" s="427"/>
      <c r="G152" s="324">
        <v>46722</v>
      </c>
      <c r="H152" s="420">
        <f t="shared" si="44"/>
        <v>80.95</v>
      </c>
      <c r="I152" s="326">
        <v>43800</v>
      </c>
      <c r="J152" s="327">
        <f t="shared" si="47"/>
        <v>80.95</v>
      </c>
      <c r="K152" s="330">
        <f t="shared" si="50"/>
        <v>80.95</v>
      </c>
      <c r="L152" s="327">
        <f t="shared" si="50"/>
        <v>80.95</v>
      </c>
      <c r="M152" s="327">
        <f t="shared" si="42"/>
        <v>80.95</v>
      </c>
      <c r="N152" s="330">
        <f t="shared" si="51"/>
        <v>80.95</v>
      </c>
      <c r="O152" s="330">
        <f t="shared" si="51"/>
        <v>80.95</v>
      </c>
      <c r="P152" s="330">
        <f t="shared" si="51"/>
        <v>80.95</v>
      </c>
      <c r="Q152" s="330">
        <f t="shared" si="51"/>
        <v>80.95</v>
      </c>
      <c r="R152" s="330">
        <f t="shared" si="51"/>
        <v>80.95</v>
      </c>
      <c r="S152" s="330">
        <f t="shared" si="51"/>
        <v>80.95</v>
      </c>
      <c r="T152" s="330">
        <f t="shared" si="51"/>
        <v>80.95</v>
      </c>
      <c r="U152" s="328">
        <f t="shared" si="51"/>
        <v>80.95</v>
      </c>
      <c r="V152" s="329">
        <f t="shared" si="45"/>
        <v>971.4000000000002</v>
      </c>
      <c r="W152" s="330">
        <f t="shared" si="46"/>
        <v>4775.8399999999992</v>
      </c>
      <c r="X152" s="333"/>
    </row>
    <row r="153" spans="1:24" s="149" customFormat="1" ht="13.5" customHeight="1">
      <c r="A153" s="449">
        <v>10482.620000000001</v>
      </c>
      <c r="B153" s="186">
        <f>A153</f>
        <v>10482.620000000001</v>
      </c>
      <c r="C153" s="196">
        <f t="shared" si="43"/>
        <v>125.05000000000109</v>
      </c>
      <c r="D153" s="459">
        <v>8984.8799999999992</v>
      </c>
      <c r="E153" s="233"/>
      <c r="F153" s="233"/>
      <c r="G153" s="421">
        <v>46753</v>
      </c>
      <c r="H153" s="422">
        <f t="shared" si="44"/>
        <v>124.79</v>
      </c>
      <c r="I153" s="204">
        <v>43831</v>
      </c>
      <c r="J153" s="201">
        <f t="shared" si="47"/>
        <v>124.79</v>
      </c>
      <c r="K153" s="259">
        <f t="shared" si="50"/>
        <v>124.79</v>
      </c>
      <c r="L153" s="201">
        <f t="shared" si="50"/>
        <v>124.79</v>
      </c>
      <c r="M153" s="201">
        <f t="shared" si="42"/>
        <v>124.79</v>
      </c>
      <c r="N153" s="259">
        <f t="shared" si="51"/>
        <v>124.79</v>
      </c>
      <c r="O153" s="259">
        <f t="shared" si="51"/>
        <v>124.79</v>
      </c>
      <c r="P153" s="259">
        <f t="shared" si="51"/>
        <v>124.79</v>
      </c>
      <c r="Q153" s="259">
        <f t="shared" si="51"/>
        <v>124.79</v>
      </c>
      <c r="R153" s="259">
        <f t="shared" si="51"/>
        <v>124.79</v>
      </c>
      <c r="S153" s="259">
        <f t="shared" si="51"/>
        <v>124.79</v>
      </c>
      <c r="T153" s="259">
        <f t="shared" si="51"/>
        <v>124.79</v>
      </c>
      <c r="U153" s="202">
        <f t="shared" si="51"/>
        <v>124.79</v>
      </c>
      <c r="V153" s="203">
        <f t="shared" si="45"/>
        <v>1497.4799999999998</v>
      </c>
      <c r="W153" s="354">
        <f t="shared" ref="W153:W176" si="52">+A153-V153</f>
        <v>8985.1400000000012</v>
      </c>
      <c r="X153" s="333"/>
    </row>
    <row r="154" spans="1:24" s="149" customFormat="1" ht="13.5" customHeight="1">
      <c r="A154" s="449">
        <v>11590.49</v>
      </c>
      <c r="B154" s="186">
        <f t="shared" ref="B154:B164" si="53">+B153+A154</f>
        <v>22073.11</v>
      </c>
      <c r="C154" s="196">
        <f t="shared" si="43"/>
        <v>138.15000000000146</v>
      </c>
      <c r="D154" s="459">
        <v>10072.539999999997</v>
      </c>
      <c r="E154" s="233"/>
      <c r="F154" s="233"/>
      <c r="G154" s="457">
        <v>46784</v>
      </c>
      <c r="H154" s="422">
        <f t="shared" si="44"/>
        <v>137.97999999999999</v>
      </c>
      <c r="I154" s="458">
        <v>43862</v>
      </c>
      <c r="J154" s="201">
        <f t="shared" si="47"/>
        <v>137.97999999999999</v>
      </c>
      <c r="K154" s="259">
        <f t="shared" si="50"/>
        <v>137.97999999999999</v>
      </c>
      <c r="L154" s="201">
        <f t="shared" si="50"/>
        <v>137.97999999999999</v>
      </c>
      <c r="M154" s="201">
        <f t="shared" si="42"/>
        <v>137.97999999999999</v>
      </c>
      <c r="N154" s="259">
        <f t="shared" si="51"/>
        <v>137.97999999999999</v>
      </c>
      <c r="O154" s="259">
        <f t="shared" si="51"/>
        <v>137.97999999999999</v>
      </c>
      <c r="P154" s="259">
        <f t="shared" si="51"/>
        <v>137.97999999999999</v>
      </c>
      <c r="Q154" s="259">
        <f t="shared" si="51"/>
        <v>137.97999999999999</v>
      </c>
      <c r="R154" s="259">
        <f t="shared" si="51"/>
        <v>137.97999999999999</v>
      </c>
      <c r="S154" s="259">
        <f t="shared" si="51"/>
        <v>137.97999999999999</v>
      </c>
      <c r="T154" s="259">
        <f t="shared" si="51"/>
        <v>137.97999999999999</v>
      </c>
      <c r="U154" s="202">
        <f t="shared" si="51"/>
        <v>137.97999999999999</v>
      </c>
      <c r="V154" s="203">
        <f t="shared" si="45"/>
        <v>1655.76</v>
      </c>
      <c r="W154" s="354">
        <f t="shared" si="52"/>
        <v>9934.73</v>
      </c>
      <c r="X154" s="333"/>
    </row>
    <row r="155" spans="1:24" s="149" customFormat="1" ht="13.5" customHeight="1">
      <c r="A155" s="449">
        <v>11106.19</v>
      </c>
      <c r="B155" s="186">
        <f t="shared" si="53"/>
        <v>33179.300000000003</v>
      </c>
      <c r="C155" s="196">
        <f t="shared" si="43"/>
        <v>131.93000000000029</v>
      </c>
      <c r="D155" s="459">
        <v>9783.99</v>
      </c>
      <c r="E155" s="233"/>
      <c r="F155" s="233"/>
      <c r="G155" s="457">
        <v>46813</v>
      </c>
      <c r="H155" s="422">
        <f t="shared" si="44"/>
        <v>132.22</v>
      </c>
      <c r="I155" s="458">
        <v>43891</v>
      </c>
      <c r="J155" s="201">
        <f t="shared" si="47"/>
        <v>132.22</v>
      </c>
      <c r="K155" s="259">
        <f t="shared" si="50"/>
        <v>132.22</v>
      </c>
      <c r="L155" s="201">
        <f t="shared" si="50"/>
        <v>132.22</v>
      </c>
      <c r="M155" s="201">
        <f t="shared" si="42"/>
        <v>132.22</v>
      </c>
      <c r="N155" s="259">
        <f t="shared" si="51"/>
        <v>132.22</v>
      </c>
      <c r="O155" s="259">
        <f t="shared" si="51"/>
        <v>132.22</v>
      </c>
      <c r="P155" s="259">
        <f t="shared" si="51"/>
        <v>132.22</v>
      </c>
      <c r="Q155" s="259">
        <f t="shared" si="51"/>
        <v>132.22</v>
      </c>
      <c r="R155" s="259">
        <f t="shared" si="51"/>
        <v>132.22</v>
      </c>
      <c r="S155" s="259">
        <f t="shared" si="51"/>
        <v>132.22</v>
      </c>
      <c r="T155" s="259">
        <f t="shared" si="51"/>
        <v>132.22</v>
      </c>
      <c r="U155" s="202">
        <f t="shared" si="51"/>
        <v>132.22</v>
      </c>
      <c r="V155" s="203">
        <f t="shared" si="45"/>
        <v>1586.64</v>
      </c>
      <c r="W155" s="354">
        <f t="shared" si="52"/>
        <v>9519.5500000000011</v>
      </c>
      <c r="X155" s="333"/>
    </row>
    <row r="156" spans="1:24" s="149" customFormat="1" ht="13.5" customHeight="1">
      <c r="A156" s="449">
        <v>11394.31</v>
      </c>
      <c r="B156" s="186">
        <f t="shared" si="53"/>
        <v>44573.61</v>
      </c>
      <c r="C156" s="196">
        <f t="shared" si="43"/>
        <v>135.35999999999876</v>
      </c>
      <c r="D156" s="459">
        <v>10173.459999999999</v>
      </c>
      <c r="E156" s="233"/>
      <c r="F156" s="233"/>
      <c r="G156" s="457">
        <v>46844</v>
      </c>
      <c r="H156" s="422">
        <f t="shared" si="44"/>
        <v>135.65</v>
      </c>
      <c r="I156" s="458">
        <v>43922</v>
      </c>
      <c r="J156" s="201">
        <f t="shared" si="47"/>
        <v>135.65</v>
      </c>
      <c r="K156" s="259">
        <f t="shared" si="50"/>
        <v>135.65</v>
      </c>
      <c r="L156" s="201">
        <f t="shared" si="50"/>
        <v>135.65</v>
      </c>
      <c r="M156" s="201">
        <f t="shared" si="42"/>
        <v>135.65</v>
      </c>
      <c r="N156" s="259">
        <f t="shared" si="51"/>
        <v>135.65</v>
      </c>
      <c r="O156" s="259">
        <f t="shared" si="51"/>
        <v>135.65</v>
      </c>
      <c r="P156" s="259">
        <f t="shared" si="51"/>
        <v>135.65</v>
      </c>
      <c r="Q156" s="259">
        <f t="shared" si="51"/>
        <v>135.65</v>
      </c>
      <c r="R156" s="259">
        <f t="shared" si="51"/>
        <v>135.65</v>
      </c>
      <c r="S156" s="259">
        <f t="shared" si="51"/>
        <v>135.65</v>
      </c>
      <c r="T156" s="259">
        <f t="shared" si="51"/>
        <v>135.65</v>
      </c>
      <c r="U156" s="202">
        <f t="shared" si="51"/>
        <v>135.65</v>
      </c>
      <c r="V156" s="203">
        <f t="shared" si="45"/>
        <v>1627.8000000000004</v>
      </c>
      <c r="W156" s="354">
        <f t="shared" si="52"/>
        <v>9766.5099999999984</v>
      </c>
      <c r="X156" s="333"/>
    </row>
    <row r="157" spans="1:24" s="149" customFormat="1" ht="13.5" customHeight="1">
      <c r="A157" s="449">
        <v>5987.71</v>
      </c>
      <c r="B157" s="186">
        <f t="shared" si="53"/>
        <v>50561.32</v>
      </c>
      <c r="C157" s="196">
        <f t="shared" si="43"/>
        <v>71.470000000000255</v>
      </c>
      <c r="D157" s="459">
        <v>5417.47</v>
      </c>
      <c r="E157" s="233"/>
      <c r="F157" s="233"/>
      <c r="G157" s="457">
        <v>46874</v>
      </c>
      <c r="H157" s="422">
        <f t="shared" si="44"/>
        <v>71.28</v>
      </c>
      <c r="I157" s="458">
        <v>43952</v>
      </c>
      <c r="J157" s="201">
        <f t="shared" si="47"/>
        <v>71.28</v>
      </c>
      <c r="K157" s="259">
        <f t="shared" si="50"/>
        <v>71.28</v>
      </c>
      <c r="L157" s="201">
        <f t="shared" si="50"/>
        <v>71.28</v>
      </c>
      <c r="M157" s="201">
        <f t="shared" si="42"/>
        <v>71.28</v>
      </c>
      <c r="N157" s="259">
        <f t="shared" si="51"/>
        <v>71.28</v>
      </c>
      <c r="O157" s="259">
        <f t="shared" si="51"/>
        <v>71.28</v>
      </c>
      <c r="P157" s="259">
        <f t="shared" si="51"/>
        <v>71.28</v>
      </c>
      <c r="Q157" s="259">
        <f t="shared" si="51"/>
        <v>71.28</v>
      </c>
      <c r="R157" s="259">
        <f t="shared" si="51"/>
        <v>71.28</v>
      </c>
      <c r="S157" s="259">
        <f t="shared" si="51"/>
        <v>71.28</v>
      </c>
      <c r="T157" s="259">
        <f t="shared" si="51"/>
        <v>71.28</v>
      </c>
      <c r="U157" s="202">
        <f t="shared" si="51"/>
        <v>71.28</v>
      </c>
      <c r="V157" s="203">
        <f t="shared" si="45"/>
        <v>855.35999999999979</v>
      </c>
      <c r="W157" s="354">
        <f t="shared" si="52"/>
        <v>5132.3500000000004</v>
      </c>
      <c r="X157" s="333"/>
    </row>
    <row r="158" spans="1:24" s="149" customFormat="1" ht="13.5" customHeight="1">
      <c r="A158" s="449">
        <v>13585.25</v>
      </c>
      <c r="B158" s="186">
        <f t="shared" si="53"/>
        <v>64146.57</v>
      </c>
      <c r="C158" s="196">
        <f t="shared" si="43"/>
        <v>161.66000000000167</v>
      </c>
      <c r="D158" s="459">
        <v>12453.14</v>
      </c>
      <c r="E158" s="233"/>
      <c r="F158" s="233"/>
      <c r="G158" s="457">
        <v>46905</v>
      </c>
      <c r="H158" s="422">
        <f t="shared" si="44"/>
        <v>161.72999999999999</v>
      </c>
      <c r="I158" s="458">
        <v>44002</v>
      </c>
      <c r="J158" s="201">
        <f t="shared" si="47"/>
        <v>161.72999999999999</v>
      </c>
      <c r="K158" s="259">
        <f t="shared" si="50"/>
        <v>161.72999999999999</v>
      </c>
      <c r="L158" s="201">
        <f t="shared" si="50"/>
        <v>161.72999999999999</v>
      </c>
      <c r="M158" s="201">
        <f t="shared" si="42"/>
        <v>161.72999999999999</v>
      </c>
      <c r="N158" s="259">
        <f t="shared" ref="N158:O176" si="54">IF(N$7&lt;$I158,"",IF(N$7=$I158,+$C158,IF(N$7&lt;=$G158,+(ROUND(($A158-$C158)/83,2)),"- - DONE - -")))</f>
        <v>161.72999999999999</v>
      </c>
      <c r="O158" s="259">
        <f t="shared" si="54"/>
        <v>161.72999999999999</v>
      </c>
      <c r="P158" s="259">
        <f>IF(P$7&lt;$I158,"",IF(P$7=$I158,+$C158,IF(P$7&lt;=$G158,+(ROUND(($A158-$C158)/83,2)),"- - DONE - -")))+161.73</f>
        <v>323.45999999999998</v>
      </c>
      <c r="Q158" s="259">
        <f t="shared" ref="Q158:U167" si="55">IF(Q$7&lt;$I158,"",IF(Q$7=$I158,+$C158,IF(Q$7&lt;=$G158,+(ROUND(($A158-$C158)/83,2)),"- - DONE - -")))</f>
        <v>161.72999999999999</v>
      </c>
      <c r="R158" s="259">
        <f t="shared" si="55"/>
        <v>161.72999999999999</v>
      </c>
      <c r="S158" s="259">
        <f t="shared" si="55"/>
        <v>161.72999999999999</v>
      </c>
      <c r="T158" s="259">
        <f t="shared" si="55"/>
        <v>161.72999999999999</v>
      </c>
      <c r="U158" s="202">
        <f t="shared" si="55"/>
        <v>161.72999999999999</v>
      </c>
      <c r="V158" s="203">
        <f t="shared" si="45"/>
        <v>2102.4899999999998</v>
      </c>
      <c r="W158" s="354">
        <f t="shared" si="52"/>
        <v>11482.76</v>
      </c>
      <c r="X158" s="333"/>
    </row>
    <row r="159" spans="1:24" s="149" customFormat="1" ht="13.5" customHeight="1">
      <c r="A159" s="449">
        <v>13020.86</v>
      </c>
      <c r="B159" s="186">
        <f t="shared" si="53"/>
        <v>77167.429999999993</v>
      </c>
      <c r="C159" s="196">
        <f t="shared" si="43"/>
        <v>155.03000000000065</v>
      </c>
      <c r="D159" s="459">
        <v>12090.800000000001</v>
      </c>
      <c r="E159" s="233"/>
      <c r="F159" s="233"/>
      <c r="G159" s="457">
        <v>46935</v>
      </c>
      <c r="H159" s="422">
        <f t="shared" si="44"/>
        <v>155.01</v>
      </c>
      <c r="I159" s="458">
        <v>44013</v>
      </c>
      <c r="J159" s="201">
        <f t="shared" si="47"/>
        <v>155.01</v>
      </c>
      <c r="K159" s="259">
        <f t="shared" si="50"/>
        <v>155.01</v>
      </c>
      <c r="L159" s="201">
        <f t="shared" si="50"/>
        <v>155.01</v>
      </c>
      <c r="M159" s="201">
        <f t="shared" si="42"/>
        <v>155.01</v>
      </c>
      <c r="N159" s="259">
        <f t="shared" si="54"/>
        <v>155.01</v>
      </c>
      <c r="O159" s="259">
        <f t="shared" si="54"/>
        <v>155.01</v>
      </c>
      <c r="P159" s="259">
        <f t="shared" ref="P159:P176" si="56">IF(P$7&lt;$I159,"",IF(P$7=$I159,+$C159,IF(P$7&lt;=$G159,+(ROUND(($A159-$C159)/83,2)),"- - DONE - -")))</f>
        <v>155.01</v>
      </c>
      <c r="Q159" s="259">
        <f t="shared" si="55"/>
        <v>155.01</v>
      </c>
      <c r="R159" s="259">
        <f t="shared" si="55"/>
        <v>155.01</v>
      </c>
      <c r="S159" s="259">
        <f t="shared" si="55"/>
        <v>155.01</v>
      </c>
      <c r="T159" s="259">
        <f t="shared" si="55"/>
        <v>155.01</v>
      </c>
      <c r="U159" s="202">
        <f t="shared" si="55"/>
        <v>155.01</v>
      </c>
      <c r="V159" s="203">
        <f t="shared" si="45"/>
        <v>1860.12</v>
      </c>
      <c r="W159" s="354">
        <f t="shared" si="52"/>
        <v>11160.740000000002</v>
      </c>
      <c r="X159" s="333"/>
    </row>
    <row r="160" spans="1:24" s="149" customFormat="1" ht="13.5" customHeight="1">
      <c r="A160" s="449">
        <v>8880.19</v>
      </c>
      <c r="B160" s="186">
        <f t="shared" si="53"/>
        <v>86047.62</v>
      </c>
      <c r="C160" s="196">
        <f t="shared" si="43"/>
        <v>105.43000000000029</v>
      </c>
      <c r="D160" s="459">
        <v>8351.59</v>
      </c>
      <c r="E160" s="233"/>
      <c r="F160" s="233"/>
      <c r="G160" s="457">
        <v>46966</v>
      </c>
      <c r="H160" s="422">
        <f t="shared" si="44"/>
        <v>105.72</v>
      </c>
      <c r="I160" s="458">
        <v>44044</v>
      </c>
      <c r="J160" s="201">
        <f t="shared" si="47"/>
        <v>105.72</v>
      </c>
      <c r="K160" s="259">
        <f t="shared" si="50"/>
        <v>105.72</v>
      </c>
      <c r="L160" s="201">
        <f t="shared" si="50"/>
        <v>105.72</v>
      </c>
      <c r="M160" s="201">
        <f t="shared" si="42"/>
        <v>105.72</v>
      </c>
      <c r="N160" s="259">
        <f t="shared" si="54"/>
        <v>105.72</v>
      </c>
      <c r="O160" s="259">
        <f t="shared" si="54"/>
        <v>105.72</v>
      </c>
      <c r="P160" s="259">
        <f t="shared" si="56"/>
        <v>105.72</v>
      </c>
      <c r="Q160" s="259">
        <f t="shared" si="55"/>
        <v>105.72</v>
      </c>
      <c r="R160" s="259">
        <f t="shared" si="55"/>
        <v>105.72</v>
      </c>
      <c r="S160" s="259">
        <f t="shared" si="55"/>
        <v>105.72</v>
      </c>
      <c r="T160" s="259">
        <f t="shared" si="55"/>
        <v>105.72</v>
      </c>
      <c r="U160" s="202">
        <f t="shared" si="55"/>
        <v>105.72</v>
      </c>
      <c r="V160" s="203">
        <f t="shared" si="45"/>
        <v>1268.6400000000001</v>
      </c>
      <c r="W160" s="354">
        <f t="shared" si="52"/>
        <v>7611.55</v>
      </c>
      <c r="X160" s="333"/>
    </row>
    <row r="161" spans="1:24" s="149" customFormat="1" ht="13.5" customHeight="1">
      <c r="A161" s="449">
        <v>26827.21</v>
      </c>
      <c r="B161" s="186">
        <f t="shared" si="53"/>
        <v>112874.82999999999</v>
      </c>
      <c r="C161" s="196">
        <f t="shared" si="43"/>
        <v>319.5</v>
      </c>
      <c r="D161" s="459">
        <v>25549.73</v>
      </c>
      <c r="E161" s="233"/>
      <c r="F161" s="233"/>
      <c r="G161" s="457">
        <v>46997</v>
      </c>
      <c r="H161" s="422">
        <f t="shared" si="44"/>
        <v>319.37</v>
      </c>
      <c r="I161" s="458">
        <v>44075</v>
      </c>
      <c r="J161" s="201">
        <f t="shared" si="47"/>
        <v>319.37</v>
      </c>
      <c r="K161" s="259">
        <f t="shared" si="50"/>
        <v>319.37</v>
      </c>
      <c r="L161" s="201">
        <f t="shared" si="50"/>
        <v>319.37</v>
      </c>
      <c r="M161" s="201">
        <f t="shared" si="42"/>
        <v>319.37</v>
      </c>
      <c r="N161" s="259">
        <f t="shared" si="54"/>
        <v>319.37</v>
      </c>
      <c r="O161" s="259">
        <f t="shared" si="54"/>
        <v>319.37</v>
      </c>
      <c r="P161" s="259">
        <f t="shared" si="56"/>
        <v>319.37</v>
      </c>
      <c r="Q161" s="259">
        <f t="shared" si="55"/>
        <v>319.37</v>
      </c>
      <c r="R161" s="259">
        <f t="shared" si="55"/>
        <v>319.37</v>
      </c>
      <c r="S161" s="259">
        <f t="shared" si="55"/>
        <v>319.37</v>
      </c>
      <c r="T161" s="259">
        <f t="shared" si="55"/>
        <v>319.37</v>
      </c>
      <c r="U161" s="202">
        <f t="shared" si="55"/>
        <v>319.37</v>
      </c>
      <c r="V161" s="203">
        <f t="shared" si="45"/>
        <v>3832.4399999999991</v>
      </c>
      <c r="W161" s="354">
        <f t="shared" si="52"/>
        <v>22994.77</v>
      </c>
      <c r="X161" s="333"/>
    </row>
    <row r="162" spans="1:24" s="149" customFormat="1" ht="13.5" customHeight="1">
      <c r="A162" s="449">
        <v>17423.34</v>
      </c>
      <c r="B162" s="186">
        <f t="shared" si="53"/>
        <v>130298.16999999998</v>
      </c>
      <c r="C162" s="196">
        <f t="shared" si="43"/>
        <v>207.47999999999956</v>
      </c>
      <c r="D162" s="459">
        <v>16801.080000000002</v>
      </c>
      <c r="E162" s="233"/>
      <c r="F162" s="233"/>
      <c r="G162" s="457">
        <v>47027</v>
      </c>
      <c r="H162" s="422">
        <f t="shared" si="44"/>
        <v>207.42</v>
      </c>
      <c r="I162" s="458">
        <v>44105</v>
      </c>
      <c r="J162" s="201">
        <f t="shared" si="47"/>
        <v>207.42</v>
      </c>
      <c r="K162" s="259">
        <f t="shared" si="50"/>
        <v>207.42</v>
      </c>
      <c r="L162" s="201">
        <f t="shared" si="50"/>
        <v>207.42</v>
      </c>
      <c r="M162" s="201">
        <f t="shared" si="42"/>
        <v>207.42</v>
      </c>
      <c r="N162" s="259">
        <f t="shared" si="54"/>
        <v>207.42</v>
      </c>
      <c r="O162" s="259">
        <f t="shared" si="54"/>
        <v>207.42</v>
      </c>
      <c r="P162" s="259">
        <f t="shared" si="56"/>
        <v>207.42</v>
      </c>
      <c r="Q162" s="259">
        <f t="shared" si="55"/>
        <v>207.42</v>
      </c>
      <c r="R162" s="259">
        <f t="shared" si="55"/>
        <v>207.42</v>
      </c>
      <c r="S162" s="259">
        <f t="shared" si="55"/>
        <v>207.42</v>
      </c>
      <c r="T162" s="259">
        <f t="shared" si="55"/>
        <v>207.42</v>
      </c>
      <c r="U162" s="202">
        <f t="shared" si="55"/>
        <v>207.42</v>
      </c>
      <c r="V162" s="203">
        <f t="shared" si="45"/>
        <v>2489.0400000000004</v>
      </c>
      <c r="W162" s="354">
        <f t="shared" si="52"/>
        <v>14934.3</v>
      </c>
      <c r="X162" s="333"/>
    </row>
    <row r="163" spans="1:24" s="149" customFormat="1" ht="13.5" customHeight="1">
      <c r="A163" s="449">
        <v>7846.85</v>
      </c>
      <c r="B163" s="186">
        <f t="shared" si="53"/>
        <v>138145.01999999999</v>
      </c>
      <c r="C163" s="196">
        <f t="shared" si="43"/>
        <v>93.820000000000618</v>
      </c>
      <c r="D163" s="459">
        <v>7660.0300000000007</v>
      </c>
      <c r="E163" s="233"/>
      <c r="F163" s="233"/>
      <c r="G163" s="457">
        <v>47058</v>
      </c>
      <c r="H163" s="422">
        <f t="shared" si="44"/>
        <v>93.41</v>
      </c>
      <c r="I163" s="458">
        <v>44136</v>
      </c>
      <c r="J163" s="201">
        <f t="shared" si="47"/>
        <v>93.41</v>
      </c>
      <c r="K163" s="259">
        <f t="shared" si="50"/>
        <v>93.41</v>
      </c>
      <c r="L163" s="201">
        <f t="shared" si="50"/>
        <v>93.41</v>
      </c>
      <c r="M163" s="201">
        <f t="shared" si="42"/>
        <v>93.41</v>
      </c>
      <c r="N163" s="259">
        <f t="shared" si="54"/>
        <v>93.41</v>
      </c>
      <c r="O163" s="259">
        <f t="shared" si="54"/>
        <v>93.41</v>
      </c>
      <c r="P163" s="259">
        <f t="shared" si="56"/>
        <v>93.41</v>
      </c>
      <c r="Q163" s="259">
        <f t="shared" si="55"/>
        <v>93.41</v>
      </c>
      <c r="R163" s="259">
        <f t="shared" si="55"/>
        <v>93.41</v>
      </c>
      <c r="S163" s="259">
        <f t="shared" si="55"/>
        <v>93.41</v>
      </c>
      <c r="T163" s="259">
        <f t="shared" si="55"/>
        <v>93.41</v>
      </c>
      <c r="U163" s="202">
        <f t="shared" si="55"/>
        <v>93.41</v>
      </c>
      <c r="V163" s="203">
        <f t="shared" si="45"/>
        <v>1120.9199999999998</v>
      </c>
      <c r="W163" s="354">
        <f t="shared" si="52"/>
        <v>6725.93</v>
      </c>
      <c r="X163" s="333"/>
    </row>
    <row r="164" spans="1:24" s="483" customFormat="1" ht="13.5" customHeight="1">
      <c r="A164" s="453">
        <v>35410.44</v>
      </c>
      <c r="B164" s="321">
        <f t="shared" si="53"/>
        <v>173555.46</v>
      </c>
      <c r="C164" s="331">
        <f t="shared" si="43"/>
        <v>421.79000000000087</v>
      </c>
      <c r="D164" s="479">
        <v>34988.89</v>
      </c>
      <c r="E164" s="427"/>
      <c r="F164" s="427"/>
      <c r="G164" s="480">
        <v>47088</v>
      </c>
      <c r="H164" s="420">
        <f t="shared" si="44"/>
        <v>421.55</v>
      </c>
      <c r="I164" s="481">
        <v>44166</v>
      </c>
      <c r="J164" s="327">
        <f t="shared" si="47"/>
        <v>421.55</v>
      </c>
      <c r="K164" s="330">
        <f t="shared" si="50"/>
        <v>421.55</v>
      </c>
      <c r="L164" s="327">
        <f t="shared" si="50"/>
        <v>421.55</v>
      </c>
      <c r="M164" s="327">
        <f t="shared" si="42"/>
        <v>421.55</v>
      </c>
      <c r="N164" s="330">
        <f t="shared" si="54"/>
        <v>421.55</v>
      </c>
      <c r="O164" s="330">
        <f t="shared" si="54"/>
        <v>421.55</v>
      </c>
      <c r="P164" s="330">
        <f t="shared" si="56"/>
        <v>421.55</v>
      </c>
      <c r="Q164" s="330">
        <f t="shared" si="55"/>
        <v>421.55</v>
      </c>
      <c r="R164" s="330">
        <f t="shared" si="55"/>
        <v>421.55</v>
      </c>
      <c r="S164" s="330">
        <f t="shared" si="55"/>
        <v>421.55</v>
      </c>
      <c r="T164" s="330">
        <f t="shared" si="55"/>
        <v>421.55</v>
      </c>
      <c r="U164" s="328">
        <f t="shared" si="55"/>
        <v>421.55</v>
      </c>
      <c r="V164" s="329">
        <f t="shared" si="45"/>
        <v>5058.6000000000013</v>
      </c>
      <c r="W164" s="330">
        <f t="shared" si="52"/>
        <v>30351.84</v>
      </c>
      <c r="X164" s="482"/>
    </row>
    <row r="165" spans="1:24" s="149" customFormat="1" ht="13.5" customHeight="1">
      <c r="A165" s="449">
        <v>12461.68</v>
      </c>
      <c r="B165" s="186">
        <f>A165</f>
        <v>12461.68</v>
      </c>
      <c r="C165" s="196">
        <f t="shared" si="43"/>
        <v>148.63000000000102</v>
      </c>
      <c r="D165" s="459"/>
      <c r="E165" s="233"/>
      <c r="F165" s="233"/>
      <c r="G165" s="457">
        <v>47119</v>
      </c>
      <c r="H165" s="422">
        <f t="shared" si="44"/>
        <v>148.35</v>
      </c>
      <c r="I165" s="458">
        <v>44197</v>
      </c>
      <c r="J165" s="201">
        <f t="shared" si="47"/>
        <v>148.63000000000102</v>
      </c>
      <c r="K165" s="259">
        <f t="shared" si="50"/>
        <v>148.35</v>
      </c>
      <c r="L165" s="201">
        <f t="shared" si="50"/>
        <v>148.35</v>
      </c>
      <c r="M165" s="201">
        <f t="shared" si="42"/>
        <v>148.35</v>
      </c>
      <c r="N165" s="259">
        <f t="shared" si="54"/>
        <v>148.35</v>
      </c>
      <c r="O165" s="259">
        <f t="shared" si="54"/>
        <v>148.35</v>
      </c>
      <c r="P165" s="259">
        <f t="shared" si="56"/>
        <v>148.35</v>
      </c>
      <c r="Q165" s="259">
        <f t="shared" si="55"/>
        <v>148.35</v>
      </c>
      <c r="R165" s="259">
        <f t="shared" si="55"/>
        <v>148.35</v>
      </c>
      <c r="S165" s="259">
        <f t="shared" si="55"/>
        <v>148.35</v>
      </c>
      <c r="T165" s="259">
        <f t="shared" si="55"/>
        <v>148.35</v>
      </c>
      <c r="U165" s="202">
        <f t="shared" si="55"/>
        <v>148.35</v>
      </c>
      <c r="V165" s="203">
        <f t="shared" si="45"/>
        <v>1780.4800000000007</v>
      </c>
      <c r="W165" s="354">
        <f t="shared" si="52"/>
        <v>10681.199999999999</v>
      </c>
      <c r="X165" s="333"/>
    </row>
    <row r="166" spans="1:24" s="149" customFormat="1" ht="13.5" customHeight="1">
      <c r="A166" s="449">
        <v>26037.739999999998</v>
      </c>
      <c r="B166" s="186">
        <f t="shared" ref="B166:B176" si="57">+B165+A166</f>
        <v>38499.42</v>
      </c>
      <c r="C166" s="196">
        <f t="shared" si="43"/>
        <v>310.22999999999593</v>
      </c>
      <c r="D166" s="459"/>
      <c r="E166" s="233"/>
      <c r="F166" s="233"/>
      <c r="G166" s="457">
        <v>47150</v>
      </c>
      <c r="H166" s="422">
        <f t="shared" si="44"/>
        <v>309.97000000000003</v>
      </c>
      <c r="I166" s="458">
        <v>44228</v>
      </c>
      <c r="J166" s="201" t="str">
        <f t="shared" si="47"/>
        <v/>
      </c>
      <c r="K166" s="259">
        <f t="shared" si="50"/>
        <v>310.22999999999593</v>
      </c>
      <c r="L166" s="201">
        <f t="shared" si="50"/>
        <v>309.97000000000003</v>
      </c>
      <c r="M166" s="201">
        <f t="shared" si="42"/>
        <v>309.97000000000003</v>
      </c>
      <c r="N166" s="259">
        <f t="shared" si="54"/>
        <v>309.97000000000003</v>
      </c>
      <c r="O166" s="259">
        <f t="shared" si="54"/>
        <v>309.97000000000003</v>
      </c>
      <c r="P166" s="259">
        <f t="shared" si="56"/>
        <v>309.97000000000003</v>
      </c>
      <c r="Q166" s="259">
        <f t="shared" si="55"/>
        <v>309.97000000000003</v>
      </c>
      <c r="R166" s="259">
        <f t="shared" si="55"/>
        <v>309.97000000000003</v>
      </c>
      <c r="S166" s="259">
        <f t="shared" si="55"/>
        <v>309.97000000000003</v>
      </c>
      <c r="T166" s="259">
        <f t="shared" si="55"/>
        <v>309.97000000000003</v>
      </c>
      <c r="U166" s="202">
        <f t="shared" si="55"/>
        <v>309.97000000000003</v>
      </c>
      <c r="V166" s="203">
        <f t="shared" si="45"/>
        <v>3409.9299999999967</v>
      </c>
      <c r="W166" s="354">
        <f t="shared" si="52"/>
        <v>22627.81</v>
      </c>
      <c r="X166" s="333"/>
    </row>
    <row r="167" spans="1:24" s="149" customFormat="1" ht="13.5" customHeight="1">
      <c r="A167" s="449">
        <v>26602.799999999999</v>
      </c>
      <c r="B167" s="186">
        <f t="shared" si="57"/>
        <v>65102.22</v>
      </c>
      <c r="C167" s="196">
        <f t="shared" si="43"/>
        <v>316.70000000000073</v>
      </c>
      <c r="D167" s="459"/>
      <c r="E167" s="233"/>
      <c r="F167" s="233"/>
      <c r="G167" s="457">
        <v>47181</v>
      </c>
      <c r="H167" s="422">
        <f t="shared" si="44"/>
        <v>316.7</v>
      </c>
      <c r="I167" s="458">
        <v>44256</v>
      </c>
      <c r="J167" s="201" t="str">
        <f t="shared" si="47"/>
        <v/>
      </c>
      <c r="K167" s="259" t="str">
        <f t="shared" si="50"/>
        <v/>
      </c>
      <c r="L167" s="201">
        <f t="shared" si="50"/>
        <v>316.7</v>
      </c>
      <c r="M167" s="201">
        <f t="shared" si="42"/>
        <v>316.7</v>
      </c>
      <c r="N167" s="259">
        <f t="shared" si="54"/>
        <v>316.7</v>
      </c>
      <c r="O167" s="259">
        <f t="shared" si="54"/>
        <v>316.7</v>
      </c>
      <c r="P167" s="259">
        <f t="shared" si="56"/>
        <v>316.7</v>
      </c>
      <c r="Q167" s="259">
        <f t="shared" si="55"/>
        <v>316.7</v>
      </c>
      <c r="R167" s="259">
        <f t="shared" si="55"/>
        <v>316.7</v>
      </c>
      <c r="S167" s="259">
        <f t="shared" si="55"/>
        <v>316.7</v>
      </c>
      <c r="T167" s="259">
        <f t="shared" si="55"/>
        <v>316.7</v>
      </c>
      <c r="U167" s="202">
        <f t="shared" si="55"/>
        <v>316.7</v>
      </c>
      <c r="V167" s="203">
        <f t="shared" si="45"/>
        <v>3166.9999999999995</v>
      </c>
      <c r="W167" s="354">
        <f t="shared" si="52"/>
        <v>23435.8</v>
      </c>
      <c r="X167" s="333"/>
    </row>
    <row r="168" spans="1:24" s="149" customFormat="1" ht="13.5" customHeight="1">
      <c r="A168" s="449">
        <v>14079.16</v>
      </c>
      <c r="B168" s="186">
        <f t="shared" si="57"/>
        <v>79181.38</v>
      </c>
      <c r="C168" s="196">
        <f t="shared" si="43"/>
        <v>167.52999999999884</v>
      </c>
      <c r="D168" s="459"/>
      <c r="E168" s="233"/>
      <c r="F168" s="233"/>
      <c r="G168" s="457">
        <v>47209</v>
      </c>
      <c r="H168" s="422">
        <f t="shared" si="44"/>
        <v>167.61</v>
      </c>
      <c r="I168" s="458">
        <v>44287</v>
      </c>
      <c r="J168" s="201" t="str">
        <f t="shared" si="47"/>
        <v/>
      </c>
      <c r="K168" s="259" t="str">
        <f t="shared" ref="K168:L176" si="58">IF(K$7&lt;$I168,"",IF(K$7=$I168,+$C168,IF(K$7&lt;=$G168,+(ROUND(($A168-$C168)/83,2)),"- - DONE - -")))</f>
        <v/>
      </c>
      <c r="L168" s="201" t="str">
        <f t="shared" si="58"/>
        <v/>
      </c>
      <c r="M168" s="201">
        <f t="shared" si="42"/>
        <v>167.61</v>
      </c>
      <c r="N168" s="259">
        <f t="shared" si="54"/>
        <v>167.61</v>
      </c>
      <c r="O168" s="259">
        <f t="shared" si="54"/>
        <v>167.61</v>
      </c>
      <c r="P168" s="259">
        <f t="shared" si="56"/>
        <v>167.61</v>
      </c>
      <c r="Q168" s="259">
        <f t="shared" ref="Q168:U176" si="59">IF(Q$7&lt;$I168,"",IF(Q$7=$I168,+$C168,IF(Q$7&lt;=$G168,+(ROUND(($A168-$C168)/83,2)),"- - DONE - -")))</f>
        <v>167.61</v>
      </c>
      <c r="R168" s="259">
        <f t="shared" si="59"/>
        <v>167.61</v>
      </c>
      <c r="S168" s="259">
        <f t="shared" si="59"/>
        <v>167.61</v>
      </c>
      <c r="T168" s="259">
        <f t="shared" si="59"/>
        <v>167.61</v>
      </c>
      <c r="U168" s="202">
        <f t="shared" si="59"/>
        <v>167.61</v>
      </c>
      <c r="V168" s="203">
        <f t="shared" si="45"/>
        <v>1508.4900000000002</v>
      </c>
      <c r="W168" s="354">
        <f t="shared" si="52"/>
        <v>12570.67</v>
      </c>
      <c r="X168" s="333"/>
    </row>
    <row r="169" spans="1:24" s="149" customFormat="1" ht="13.5" customHeight="1">
      <c r="A169" s="449">
        <v>20774.5</v>
      </c>
      <c r="B169" s="186">
        <f t="shared" si="57"/>
        <v>99955.88</v>
      </c>
      <c r="C169" s="196">
        <f t="shared" ref="C169:C176" si="60">+A169-ROUND(A169/84,2)*83</f>
        <v>246.94000000000233</v>
      </c>
      <c r="D169" s="459"/>
      <c r="E169" s="233"/>
      <c r="F169" s="233"/>
      <c r="G169" s="457">
        <v>47239</v>
      </c>
      <c r="H169" s="422">
        <f t="shared" ref="H169:H176" si="61">+ROUND((+A169-C169)/83,2)</f>
        <v>247.32</v>
      </c>
      <c r="I169" s="458">
        <v>44317</v>
      </c>
      <c r="J169" s="201" t="str">
        <f t="shared" si="47"/>
        <v/>
      </c>
      <c r="K169" s="259" t="str">
        <f t="shared" si="58"/>
        <v/>
      </c>
      <c r="L169" s="201" t="str">
        <f t="shared" si="58"/>
        <v/>
      </c>
      <c r="M169" s="201" t="str">
        <f t="shared" si="42"/>
        <v/>
      </c>
      <c r="N169" s="259">
        <f t="shared" si="54"/>
        <v>247.32</v>
      </c>
      <c r="O169" s="259">
        <f t="shared" si="54"/>
        <v>247.32</v>
      </c>
      <c r="P169" s="259">
        <f t="shared" si="56"/>
        <v>247.32</v>
      </c>
      <c r="Q169" s="259">
        <f t="shared" si="59"/>
        <v>247.32</v>
      </c>
      <c r="R169" s="259">
        <f t="shared" si="59"/>
        <v>247.32</v>
      </c>
      <c r="S169" s="259">
        <f t="shared" si="59"/>
        <v>247.32</v>
      </c>
      <c r="T169" s="259">
        <f t="shared" si="59"/>
        <v>247.32</v>
      </c>
      <c r="U169" s="202">
        <f t="shared" si="59"/>
        <v>247.32</v>
      </c>
      <c r="V169" s="203">
        <f t="shared" ref="V169:V176" si="62">SUM(J169:U169)</f>
        <v>1978.5599999999997</v>
      </c>
      <c r="W169" s="354">
        <f t="shared" si="52"/>
        <v>18795.939999999999</v>
      </c>
      <c r="X169" s="333"/>
    </row>
    <row r="170" spans="1:24" s="149" customFormat="1" ht="13.5" customHeight="1">
      <c r="A170" s="449">
        <v>5647.23</v>
      </c>
      <c r="B170" s="186">
        <f t="shared" si="57"/>
        <v>105603.11</v>
      </c>
      <c r="C170" s="196">
        <f t="shared" si="60"/>
        <v>67.139999999999418</v>
      </c>
      <c r="D170" s="459"/>
      <c r="E170" s="233"/>
      <c r="F170" s="233"/>
      <c r="G170" s="457">
        <v>47270</v>
      </c>
      <c r="H170" s="422">
        <f t="shared" si="61"/>
        <v>67.23</v>
      </c>
      <c r="I170" s="458">
        <v>44348</v>
      </c>
      <c r="J170" s="201" t="str">
        <f t="shared" ref="J170:J176" si="63">IF(J$7&lt;$I170,"",IF(J$7=$I170,+$C170,IF(J$7&lt;=$G170,+(ROUND(($A170-$C170)/83,2)),"- - DONE - -")))</f>
        <v/>
      </c>
      <c r="K170" s="259" t="str">
        <f t="shared" si="58"/>
        <v/>
      </c>
      <c r="L170" s="201" t="str">
        <f t="shared" si="58"/>
        <v/>
      </c>
      <c r="M170" s="201" t="str">
        <f t="shared" si="42"/>
        <v/>
      </c>
      <c r="N170" s="259" t="str">
        <f t="shared" si="54"/>
        <v/>
      </c>
      <c r="O170" s="259">
        <f t="shared" si="54"/>
        <v>67.23</v>
      </c>
      <c r="P170" s="259">
        <f t="shared" si="56"/>
        <v>67.23</v>
      </c>
      <c r="Q170" s="259">
        <f t="shared" si="59"/>
        <v>67.23</v>
      </c>
      <c r="R170" s="259">
        <f t="shared" si="59"/>
        <v>67.23</v>
      </c>
      <c r="S170" s="259">
        <f t="shared" si="59"/>
        <v>67.23</v>
      </c>
      <c r="T170" s="259">
        <f t="shared" si="59"/>
        <v>67.23</v>
      </c>
      <c r="U170" s="202">
        <f t="shared" si="59"/>
        <v>67.23</v>
      </c>
      <c r="V170" s="203">
        <f t="shared" si="62"/>
        <v>470.61000000000007</v>
      </c>
      <c r="W170" s="354">
        <f t="shared" si="52"/>
        <v>5176.62</v>
      </c>
      <c r="X170" s="333"/>
    </row>
    <row r="171" spans="1:24" s="149" customFormat="1" ht="13.5" customHeight="1">
      <c r="A171" s="449">
        <v>16370.91</v>
      </c>
      <c r="B171" s="186">
        <f t="shared" si="57"/>
        <v>121974.02</v>
      </c>
      <c r="C171" s="196">
        <f t="shared" si="60"/>
        <v>195.04000000000087</v>
      </c>
      <c r="D171" s="459"/>
      <c r="E171" s="233"/>
      <c r="F171" s="233"/>
      <c r="G171" s="457">
        <v>47300</v>
      </c>
      <c r="H171" s="422">
        <f t="shared" si="61"/>
        <v>194.89</v>
      </c>
      <c r="I171" s="458">
        <v>44378</v>
      </c>
      <c r="J171" s="201" t="str">
        <f t="shared" si="63"/>
        <v/>
      </c>
      <c r="K171" s="259" t="str">
        <f t="shared" si="58"/>
        <v/>
      </c>
      <c r="L171" s="201" t="str">
        <f t="shared" si="58"/>
        <v/>
      </c>
      <c r="M171" s="201" t="str">
        <f t="shared" si="42"/>
        <v/>
      </c>
      <c r="N171" s="259" t="str">
        <f t="shared" si="54"/>
        <v/>
      </c>
      <c r="O171" s="259" t="str">
        <f t="shared" si="54"/>
        <v/>
      </c>
      <c r="P171" s="259">
        <f t="shared" si="56"/>
        <v>194.89</v>
      </c>
      <c r="Q171" s="259">
        <f t="shared" si="59"/>
        <v>194.89</v>
      </c>
      <c r="R171" s="259">
        <f t="shared" si="59"/>
        <v>194.89</v>
      </c>
      <c r="S171" s="259">
        <f t="shared" si="59"/>
        <v>194.89</v>
      </c>
      <c r="T171" s="259">
        <f t="shared" si="59"/>
        <v>194.89</v>
      </c>
      <c r="U171" s="202">
        <f t="shared" si="59"/>
        <v>194.89</v>
      </c>
      <c r="V171" s="203">
        <f t="shared" si="62"/>
        <v>1169.3399999999999</v>
      </c>
      <c r="W171" s="354">
        <f t="shared" si="52"/>
        <v>15201.57</v>
      </c>
      <c r="X171" s="333"/>
    </row>
    <row r="172" spans="1:24" s="149" customFormat="1" ht="13.5" customHeight="1">
      <c r="A172" s="449">
        <v>2030.26</v>
      </c>
      <c r="B172" s="186">
        <f t="shared" si="57"/>
        <v>124004.28</v>
      </c>
      <c r="C172" s="196">
        <f t="shared" si="60"/>
        <v>24.149999999999864</v>
      </c>
      <c r="D172" s="459"/>
      <c r="E172" s="233"/>
      <c r="F172" s="233"/>
      <c r="G172" s="457">
        <v>47331</v>
      </c>
      <c r="H172" s="422">
        <f t="shared" si="61"/>
        <v>24.17</v>
      </c>
      <c r="I172" s="458">
        <v>44409</v>
      </c>
      <c r="J172" s="201" t="str">
        <f t="shared" si="63"/>
        <v/>
      </c>
      <c r="K172" s="259" t="str">
        <f t="shared" si="58"/>
        <v/>
      </c>
      <c r="L172" s="201" t="str">
        <f t="shared" si="58"/>
        <v/>
      </c>
      <c r="M172" s="201" t="str">
        <f t="shared" si="42"/>
        <v/>
      </c>
      <c r="N172" s="259" t="str">
        <f t="shared" si="54"/>
        <v/>
      </c>
      <c r="O172" s="259" t="str">
        <f t="shared" si="54"/>
        <v/>
      </c>
      <c r="P172" s="259" t="str">
        <f t="shared" si="56"/>
        <v/>
      </c>
      <c r="Q172" s="259">
        <f t="shared" si="59"/>
        <v>24.17</v>
      </c>
      <c r="R172" s="259">
        <f t="shared" si="59"/>
        <v>24.17</v>
      </c>
      <c r="S172" s="259">
        <f t="shared" si="59"/>
        <v>24.17</v>
      </c>
      <c r="T172" s="259">
        <f t="shared" si="59"/>
        <v>24.17</v>
      </c>
      <c r="U172" s="202">
        <f t="shared" si="59"/>
        <v>24.17</v>
      </c>
      <c r="V172" s="203">
        <f t="shared" si="62"/>
        <v>120.85000000000001</v>
      </c>
      <c r="W172" s="354">
        <f t="shared" si="52"/>
        <v>1909.41</v>
      </c>
      <c r="X172" s="333"/>
    </row>
    <row r="173" spans="1:24" s="149" customFormat="1" ht="13.5" customHeight="1">
      <c r="A173" s="449">
        <v>8644</v>
      </c>
      <c r="B173" s="186">
        <f t="shared" si="57"/>
        <v>132648.28</v>
      </c>
      <c r="C173" s="196">
        <f t="shared" si="60"/>
        <v>103.29999999999927</v>
      </c>
      <c r="D173" s="459"/>
      <c r="E173" s="233"/>
      <c r="F173" s="233"/>
      <c r="G173" s="457">
        <v>47362</v>
      </c>
      <c r="H173" s="422">
        <f t="shared" si="61"/>
        <v>102.9</v>
      </c>
      <c r="I173" s="458">
        <v>44440</v>
      </c>
      <c r="J173" s="201" t="str">
        <f t="shared" si="63"/>
        <v/>
      </c>
      <c r="K173" s="259" t="str">
        <f t="shared" si="58"/>
        <v/>
      </c>
      <c r="L173" s="201" t="str">
        <f t="shared" si="58"/>
        <v/>
      </c>
      <c r="M173" s="201" t="str">
        <f t="shared" si="42"/>
        <v/>
      </c>
      <c r="N173" s="259" t="str">
        <f t="shared" si="54"/>
        <v/>
      </c>
      <c r="O173" s="259" t="str">
        <f t="shared" si="54"/>
        <v/>
      </c>
      <c r="P173" s="259" t="str">
        <f t="shared" si="56"/>
        <v/>
      </c>
      <c r="Q173" s="259" t="str">
        <f t="shared" si="59"/>
        <v/>
      </c>
      <c r="R173" s="259">
        <f t="shared" si="59"/>
        <v>102.9</v>
      </c>
      <c r="S173" s="259">
        <f t="shared" si="59"/>
        <v>102.9</v>
      </c>
      <c r="T173" s="259">
        <f t="shared" si="59"/>
        <v>102.9</v>
      </c>
      <c r="U173" s="202">
        <f t="shared" si="59"/>
        <v>102.9</v>
      </c>
      <c r="V173" s="203">
        <f t="shared" si="62"/>
        <v>411.6</v>
      </c>
      <c r="W173" s="354">
        <f t="shared" si="52"/>
        <v>8232.4</v>
      </c>
      <c r="X173" s="333"/>
    </row>
    <row r="174" spans="1:24" s="149" customFormat="1" ht="13.5" customHeight="1">
      <c r="A174" s="449">
        <v>12821.97</v>
      </c>
      <c r="B174" s="186">
        <f t="shared" si="57"/>
        <v>145470.25</v>
      </c>
      <c r="C174" s="196">
        <f t="shared" si="60"/>
        <v>152.85000000000036</v>
      </c>
      <c r="D174" s="459"/>
      <c r="E174" s="233"/>
      <c r="F174" s="233"/>
      <c r="G174" s="457">
        <v>47392</v>
      </c>
      <c r="H174" s="422">
        <f t="shared" si="61"/>
        <v>152.63999999999999</v>
      </c>
      <c r="I174" s="458">
        <v>44470</v>
      </c>
      <c r="J174" s="201" t="str">
        <f t="shared" si="63"/>
        <v/>
      </c>
      <c r="K174" s="259" t="str">
        <f t="shared" si="58"/>
        <v/>
      </c>
      <c r="L174" s="201" t="str">
        <f t="shared" si="58"/>
        <v/>
      </c>
      <c r="M174" s="201" t="str">
        <f t="shared" si="42"/>
        <v/>
      </c>
      <c r="N174" s="259" t="str">
        <f t="shared" si="54"/>
        <v/>
      </c>
      <c r="O174" s="259" t="str">
        <f t="shared" si="54"/>
        <v/>
      </c>
      <c r="P174" s="259" t="str">
        <f t="shared" si="56"/>
        <v/>
      </c>
      <c r="Q174" s="259" t="str">
        <f t="shared" si="59"/>
        <v/>
      </c>
      <c r="R174" s="259" t="str">
        <f t="shared" si="59"/>
        <v/>
      </c>
      <c r="S174" s="259">
        <f t="shared" si="59"/>
        <v>152.63999999999999</v>
      </c>
      <c r="T174" s="259">
        <f t="shared" si="59"/>
        <v>152.63999999999999</v>
      </c>
      <c r="U174" s="202">
        <f t="shared" si="59"/>
        <v>152.63999999999999</v>
      </c>
      <c r="V174" s="203">
        <f t="shared" si="62"/>
        <v>457.91999999999996</v>
      </c>
      <c r="W174" s="354">
        <f t="shared" si="52"/>
        <v>12364.05</v>
      </c>
      <c r="X174" s="333"/>
    </row>
    <row r="175" spans="1:24" s="149" customFormat="1" ht="13.5" customHeight="1">
      <c r="A175" s="449">
        <v>14398.439999999999</v>
      </c>
      <c r="B175" s="186">
        <f t="shared" si="57"/>
        <v>159868.69</v>
      </c>
      <c r="C175" s="196">
        <f t="shared" si="60"/>
        <v>171.40999999999985</v>
      </c>
      <c r="D175" s="459"/>
      <c r="E175" s="233"/>
      <c r="F175" s="233"/>
      <c r="G175" s="457">
        <v>47423</v>
      </c>
      <c r="H175" s="422">
        <f t="shared" si="61"/>
        <v>171.41</v>
      </c>
      <c r="I175" s="458">
        <v>44501</v>
      </c>
      <c r="J175" s="201" t="str">
        <f t="shared" si="63"/>
        <v/>
      </c>
      <c r="K175" s="259" t="str">
        <f t="shared" si="58"/>
        <v/>
      </c>
      <c r="L175" s="201" t="str">
        <f t="shared" si="58"/>
        <v/>
      </c>
      <c r="M175" s="201" t="str">
        <f t="shared" si="42"/>
        <v/>
      </c>
      <c r="N175" s="259" t="str">
        <f t="shared" si="54"/>
        <v/>
      </c>
      <c r="O175" s="259" t="str">
        <f t="shared" si="54"/>
        <v/>
      </c>
      <c r="P175" s="259" t="str">
        <f t="shared" si="56"/>
        <v/>
      </c>
      <c r="Q175" s="259" t="str">
        <f t="shared" si="59"/>
        <v/>
      </c>
      <c r="R175" s="259" t="str">
        <f t="shared" si="59"/>
        <v/>
      </c>
      <c r="S175" s="259" t="str">
        <f t="shared" si="59"/>
        <v/>
      </c>
      <c r="T175" s="259">
        <f t="shared" si="59"/>
        <v>171.41</v>
      </c>
      <c r="U175" s="202">
        <f t="shared" si="59"/>
        <v>171.41</v>
      </c>
      <c r="V175" s="203">
        <f t="shared" si="62"/>
        <v>342.82</v>
      </c>
      <c r="W175" s="354">
        <f t="shared" si="52"/>
        <v>14055.619999999999</v>
      </c>
      <c r="X175" s="333"/>
    </row>
    <row r="176" spans="1:24" s="149" customFormat="1" ht="13.5" customHeight="1">
      <c r="A176" s="449">
        <v>3372.84</v>
      </c>
      <c r="B176" s="186">
        <f t="shared" si="57"/>
        <v>163241.53</v>
      </c>
      <c r="C176" s="196">
        <f t="shared" si="60"/>
        <v>40.390000000000327</v>
      </c>
      <c r="D176" s="459"/>
      <c r="E176" s="233"/>
      <c r="F176" s="233"/>
      <c r="G176" s="457">
        <v>47453</v>
      </c>
      <c r="H176" s="422">
        <f t="shared" si="61"/>
        <v>40.15</v>
      </c>
      <c r="I176" s="458">
        <v>44531</v>
      </c>
      <c r="J176" s="201" t="str">
        <f t="shared" si="63"/>
        <v/>
      </c>
      <c r="K176" s="259" t="str">
        <f t="shared" si="58"/>
        <v/>
      </c>
      <c r="L176" s="201" t="str">
        <f t="shared" si="58"/>
        <v/>
      </c>
      <c r="M176" s="201" t="str">
        <f t="shared" si="42"/>
        <v/>
      </c>
      <c r="N176" s="259" t="str">
        <f t="shared" si="54"/>
        <v/>
      </c>
      <c r="O176" s="259" t="str">
        <f t="shared" si="54"/>
        <v/>
      </c>
      <c r="P176" s="259" t="str">
        <f t="shared" si="56"/>
        <v/>
      </c>
      <c r="Q176" s="259" t="str">
        <f t="shared" si="59"/>
        <v/>
      </c>
      <c r="R176" s="259" t="str">
        <f t="shared" si="59"/>
        <v/>
      </c>
      <c r="S176" s="259" t="str">
        <f t="shared" si="59"/>
        <v/>
      </c>
      <c r="T176" s="259" t="str">
        <f t="shared" si="59"/>
        <v/>
      </c>
      <c r="U176" s="202">
        <f t="shared" si="59"/>
        <v>40.15</v>
      </c>
      <c r="V176" s="203">
        <f t="shared" si="62"/>
        <v>40.15</v>
      </c>
      <c r="W176" s="354">
        <f t="shared" si="52"/>
        <v>3332.69</v>
      </c>
      <c r="X176" s="333"/>
    </row>
    <row r="177" spans="1:24" s="149" customFormat="1" ht="23.25" customHeight="1" thickBot="1">
      <c r="A177" s="14">
        <f>SUM(A8:A165)</f>
        <v>1791992.6800000004</v>
      </c>
      <c r="B177" s="229"/>
      <c r="C177" s="17"/>
      <c r="D177" s="14">
        <f>SUM(D7:D164)</f>
        <v>619698.45000000007</v>
      </c>
      <c r="E177" s="237"/>
      <c r="F177" s="237"/>
      <c r="G177" s="16"/>
      <c r="H177" s="17"/>
      <c r="I177" s="17"/>
      <c r="J177" s="245">
        <f t="shared" ref="J177:U177" si="64">SUM(J8:J176)</f>
        <v>14824.190000000002</v>
      </c>
      <c r="K177" s="245">
        <f t="shared" si="64"/>
        <v>15053.509999999998</v>
      </c>
      <c r="L177" s="245">
        <f t="shared" si="64"/>
        <v>15149.660000000003</v>
      </c>
      <c r="M177" s="245">
        <f t="shared" si="64"/>
        <v>15261.060000000003</v>
      </c>
      <c r="N177" s="245">
        <f t="shared" si="64"/>
        <v>15239.210000000003</v>
      </c>
      <c r="O177" s="245">
        <f t="shared" si="64"/>
        <v>15234.460000000003</v>
      </c>
      <c r="P177" s="245">
        <f t="shared" si="64"/>
        <v>15309.260000000002</v>
      </c>
      <c r="Q177" s="245">
        <f t="shared" si="64"/>
        <v>14776.770000000002</v>
      </c>
      <c r="R177" s="245">
        <f t="shared" si="64"/>
        <v>14817.580000000002</v>
      </c>
      <c r="S177" s="245">
        <f t="shared" si="64"/>
        <v>14805.840000000002</v>
      </c>
      <c r="T177" s="245">
        <f t="shared" si="64"/>
        <v>14872.140000000001</v>
      </c>
      <c r="U177" s="486">
        <f t="shared" si="64"/>
        <v>14688.070000000002</v>
      </c>
      <c r="V177" s="245">
        <f>SUM(V8:V164)</f>
        <v>165174.00000000006</v>
      </c>
      <c r="W177" s="245">
        <f>SUM(W8:W164)</f>
        <v>465752.31</v>
      </c>
      <c r="X177" s="333"/>
    </row>
    <row r="178" spans="1:24" s="149" customFormat="1" ht="15" customHeight="1" thickTop="1" thickBot="1">
      <c r="A178" s="27"/>
      <c r="B178" s="27"/>
      <c r="C178" s="381"/>
      <c r="D178" s="382"/>
      <c r="E178" s="66"/>
      <c r="F178" s="66"/>
      <c r="G178" s="23"/>
      <c r="H178" s="28"/>
      <c r="I178" s="236" t="s">
        <v>33</v>
      </c>
      <c r="J178" s="33">
        <f>+J177</f>
        <v>14824.190000000002</v>
      </c>
      <c r="K178" s="33">
        <f t="shared" ref="K178:U178" si="65">+J178+K177</f>
        <v>29877.7</v>
      </c>
      <c r="L178" s="33">
        <f t="shared" si="65"/>
        <v>45027.360000000001</v>
      </c>
      <c r="M178" s="33">
        <f t="shared" si="65"/>
        <v>60288.420000000006</v>
      </c>
      <c r="N178" s="33">
        <f t="shared" si="65"/>
        <v>75527.63</v>
      </c>
      <c r="O178" s="33">
        <f t="shared" si="65"/>
        <v>90762.090000000011</v>
      </c>
      <c r="P178" s="33">
        <f t="shared" si="65"/>
        <v>106071.35</v>
      </c>
      <c r="Q178" s="33">
        <f t="shared" si="65"/>
        <v>120848.12000000001</v>
      </c>
      <c r="R178" s="33">
        <f t="shared" si="65"/>
        <v>135665.70000000001</v>
      </c>
      <c r="S178" s="33">
        <f t="shared" si="65"/>
        <v>150471.54</v>
      </c>
      <c r="T178" s="33">
        <f t="shared" si="65"/>
        <v>165343.68000000002</v>
      </c>
      <c r="U178" s="33">
        <f t="shared" si="65"/>
        <v>180031.75000000003</v>
      </c>
      <c r="V178" s="30"/>
      <c r="W178" s="23"/>
      <c r="X178" s="333"/>
    </row>
    <row r="179" spans="1:24" s="149" customFormat="1" ht="15" thickTop="1">
      <c r="A179" s="27"/>
      <c r="B179" s="27"/>
      <c r="C179" s="27"/>
      <c r="D179" s="66"/>
      <c r="E179" s="66"/>
      <c r="F179" s="66"/>
      <c r="G179" s="23"/>
      <c r="H179" s="28"/>
      <c r="I179" s="230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30"/>
      <c r="W179" s="23"/>
      <c r="X179" s="333"/>
    </row>
    <row r="180" spans="1:24" s="149" customFormat="1" ht="14.25">
      <c r="A180" s="8"/>
      <c r="B180" s="8"/>
      <c r="C180" s="8"/>
      <c r="D180" s="67"/>
      <c r="E180" s="67"/>
      <c r="F180" s="67"/>
      <c r="G180" s="9"/>
      <c r="H180" s="10"/>
      <c r="I180" s="7" t="s">
        <v>35</v>
      </c>
      <c r="J180" s="8">
        <f>D177-J178+B165</f>
        <v>617335.94000000006</v>
      </c>
      <c r="K180" s="8">
        <f>+$D$177-K178+$B166</f>
        <v>628320.17000000016</v>
      </c>
      <c r="L180" s="8">
        <f>+$D$177-L178+$B167</f>
        <v>639773.31000000006</v>
      </c>
      <c r="M180" s="8">
        <f>+$D$177-M178+$B$168</f>
        <v>638591.41</v>
      </c>
      <c r="N180" s="8">
        <f>+$D$177-N178+$B169</f>
        <v>644126.70000000007</v>
      </c>
      <c r="O180" s="8">
        <f>+$D$177-O178+$B170</f>
        <v>634539.47000000009</v>
      </c>
      <c r="P180" s="8">
        <f>+$D$177-P178+$B171</f>
        <v>635601.12000000011</v>
      </c>
      <c r="Q180" s="8">
        <f>+$D$177-Q178+$B172</f>
        <v>622854.6100000001</v>
      </c>
      <c r="R180" s="8">
        <f>+$D$177-R178+$B173</f>
        <v>616681.03</v>
      </c>
      <c r="S180" s="8">
        <f>+$D$177-S178+$B174</f>
        <v>614697.16</v>
      </c>
      <c r="T180" s="8">
        <f>+$D$177-T178+$B175</f>
        <v>614223.46</v>
      </c>
      <c r="U180" s="8">
        <f>+$D$177-U178+$B176</f>
        <v>602908.2300000001</v>
      </c>
      <c r="V180" s="31"/>
      <c r="W180" s="8"/>
      <c r="X180" s="333"/>
    </row>
    <row r="181" spans="1:24" s="149" customFormat="1" ht="14.25">
      <c r="A181" s="8"/>
      <c r="B181" s="8"/>
      <c r="C181" s="8"/>
      <c r="D181" s="234"/>
      <c r="E181" s="234"/>
      <c r="F181" s="234"/>
      <c r="G181" s="9"/>
      <c r="H181" s="10"/>
      <c r="I181" s="7" t="s">
        <v>50</v>
      </c>
      <c r="J181" s="63">
        <f>'PIPING FN__ INPUT'!P9</f>
        <v>617335.93999999994</v>
      </c>
      <c r="K181" s="63">
        <f>'PIPING FN__ INPUT'!P10</f>
        <v>628320.16999999993</v>
      </c>
      <c r="L181" s="63">
        <f>'PIPING FN__ INPUT'!P11</f>
        <v>639773.30999999994</v>
      </c>
      <c r="M181" s="63">
        <f>'PIPING FN__ INPUT'!P12</f>
        <v>638591.40999999992</v>
      </c>
      <c r="N181" s="63">
        <f>'PIPING FN__ INPUT'!P13</f>
        <v>644126.69999999995</v>
      </c>
      <c r="O181" s="63">
        <f>'PIPING FN__ INPUT'!P14</f>
        <v>634539.47</v>
      </c>
      <c r="P181" s="63">
        <f>'PIPING FN__ INPUT'!P15</f>
        <v>635601.12</v>
      </c>
      <c r="Q181" s="63">
        <f>'PIPING FN__ INPUT'!P16</f>
        <v>622854.61</v>
      </c>
      <c r="R181" s="63">
        <f>'PIPING FN__ INPUT'!P17</f>
        <v>616681.03</v>
      </c>
      <c r="S181" s="63">
        <f>'PIPING FN__ INPUT'!P18</f>
        <v>614697.16</v>
      </c>
      <c r="T181" s="63">
        <f>'PIPING FN__ INPUT'!P19</f>
        <v>614223.46</v>
      </c>
      <c r="U181" s="63">
        <f>'PIPING FN__ INPUT'!P20</f>
        <v>602908.23</v>
      </c>
      <c r="V181" s="31"/>
      <c r="W181" s="8"/>
      <c r="X181" s="333"/>
    </row>
    <row r="182" spans="1:24" s="149" customFormat="1" ht="27.75" customHeight="1" thickBot="1">
      <c r="A182" s="8"/>
      <c r="B182" s="8"/>
      <c r="C182" s="8"/>
      <c r="D182" s="234"/>
      <c r="E182" s="234"/>
      <c r="F182" s="234"/>
      <c r="G182" s="231"/>
      <c r="H182" s="10"/>
      <c r="I182" s="7" t="s">
        <v>18</v>
      </c>
      <c r="J182" s="18">
        <f t="shared" ref="J182:U182" si="66">IF(J181&lt;&gt;0,+J180-J181,"")</f>
        <v>1.1641532182693481E-10</v>
      </c>
      <c r="K182" s="18">
        <f t="shared" si="66"/>
        <v>2.3283064365386963E-10</v>
      </c>
      <c r="L182" s="18">
        <f t="shared" si="66"/>
        <v>1.1641532182693481E-10</v>
      </c>
      <c r="M182" s="18">
        <f t="shared" si="66"/>
        <v>1.1641532182693481E-10</v>
      </c>
      <c r="N182" s="18">
        <f t="shared" si="66"/>
        <v>1.1641532182693481E-10</v>
      </c>
      <c r="O182" s="18">
        <f t="shared" si="66"/>
        <v>1.1641532182693481E-10</v>
      </c>
      <c r="P182" s="18">
        <f t="shared" si="66"/>
        <v>1.1641532182693481E-10</v>
      </c>
      <c r="Q182" s="18">
        <f t="shared" si="66"/>
        <v>1.1641532182693481E-10</v>
      </c>
      <c r="R182" s="18">
        <f t="shared" si="66"/>
        <v>0</v>
      </c>
      <c r="S182" s="18">
        <f t="shared" si="66"/>
        <v>0</v>
      </c>
      <c r="T182" s="18">
        <f t="shared" si="66"/>
        <v>0</v>
      </c>
      <c r="U182" s="18">
        <f t="shared" si="66"/>
        <v>1.1641532182693481E-10</v>
      </c>
      <c r="V182" s="32"/>
      <c r="W182" s="19"/>
      <c r="X182" s="333"/>
    </row>
    <row r="183" spans="1:24" s="149" customFormat="1" ht="17.25" thickTop="1" thickBot="1">
      <c r="A183" s="62" t="s">
        <v>39</v>
      </c>
      <c r="B183" s="8"/>
      <c r="C183" s="8"/>
      <c r="D183" s="234"/>
      <c r="E183" s="234"/>
      <c r="F183" s="234"/>
      <c r="G183" s="37"/>
      <c r="H183" s="10"/>
      <c r="I183" s="7" t="s">
        <v>31</v>
      </c>
      <c r="J183" s="18" t="str">
        <f t="shared" ref="J183:U183" si="67">IF(J181&lt;&gt;0,IF(ROUND(J180-J181,2)=0,"- - OK - -","E R R O R"),"")</f>
        <v>- - OK - -</v>
      </c>
      <c r="K183" s="18" t="str">
        <f t="shared" si="67"/>
        <v>- - OK - -</v>
      </c>
      <c r="L183" s="18" t="str">
        <f t="shared" si="67"/>
        <v>- - OK - -</v>
      </c>
      <c r="M183" s="18" t="str">
        <f t="shared" si="67"/>
        <v>- - OK - -</v>
      </c>
      <c r="N183" s="18" t="str">
        <f t="shared" si="67"/>
        <v>- - OK - -</v>
      </c>
      <c r="O183" s="18" t="str">
        <f t="shared" si="67"/>
        <v>- - OK - -</v>
      </c>
      <c r="P183" s="18" t="str">
        <f t="shared" si="67"/>
        <v>- - OK - -</v>
      </c>
      <c r="Q183" s="18" t="str">
        <f t="shared" si="67"/>
        <v>- - OK - -</v>
      </c>
      <c r="R183" s="18" t="str">
        <f t="shared" si="67"/>
        <v>- - OK - -</v>
      </c>
      <c r="S183" s="18" t="str">
        <f t="shared" si="67"/>
        <v>- - OK - -</v>
      </c>
      <c r="T183" s="18" t="str">
        <f t="shared" si="67"/>
        <v>- - OK - -</v>
      </c>
      <c r="U183" s="18" t="str">
        <f t="shared" si="67"/>
        <v>- - OK - -</v>
      </c>
      <c r="V183" s="32"/>
      <c r="W183" s="19"/>
      <c r="X183" s="333"/>
    </row>
    <row r="184" spans="1:24" s="149" customFormat="1" ht="16.5" thickTop="1">
      <c r="A184" s="379"/>
      <c r="C184" s="21"/>
      <c r="D184" s="376"/>
      <c r="E184" s="235"/>
      <c r="F184" s="235"/>
      <c r="G184" s="21"/>
      <c r="H184" s="21"/>
      <c r="I184" s="70"/>
      <c r="J184" s="263">
        <f>+J7</f>
        <v>44197</v>
      </c>
      <c r="K184" s="263">
        <f>+K7</f>
        <v>44228</v>
      </c>
      <c r="L184" s="263">
        <f>+L7</f>
        <v>44259</v>
      </c>
      <c r="M184" s="263">
        <f>+M7</f>
        <v>44290</v>
      </c>
      <c r="N184" s="263">
        <f t="shared" ref="N184:U184" si="68">+N7</f>
        <v>44321</v>
      </c>
      <c r="O184" s="263">
        <f t="shared" si="68"/>
        <v>44352</v>
      </c>
      <c r="P184" s="263">
        <f t="shared" si="68"/>
        <v>44383</v>
      </c>
      <c r="Q184" s="263">
        <f t="shared" si="68"/>
        <v>44414</v>
      </c>
      <c r="R184" s="263">
        <f t="shared" si="68"/>
        <v>44445</v>
      </c>
      <c r="S184" s="263">
        <f t="shared" si="68"/>
        <v>44476</v>
      </c>
      <c r="T184" s="263">
        <f t="shared" si="68"/>
        <v>44507</v>
      </c>
      <c r="U184" s="263">
        <f t="shared" si="68"/>
        <v>44538</v>
      </c>
      <c r="V184" s="21"/>
      <c r="W184" s="21"/>
      <c r="X184" s="333"/>
    </row>
    <row r="185" spans="1:24">
      <c r="D185" s="376"/>
      <c r="I185" s="70"/>
      <c r="J185" s="70"/>
      <c r="K185" s="260"/>
      <c r="L185" s="36"/>
      <c r="V185" s="36"/>
    </row>
    <row r="186" spans="1:24">
      <c r="A186" s="77"/>
      <c r="B186" s="21"/>
      <c r="D186" s="376"/>
      <c r="I186" s="70"/>
      <c r="J186" s="70"/>
      <c r="K186" s="246"/>
      <c r="L186" s="383"/>
    </row>
    <row r="187" spans="1:24">
      <c r="B187" s="36"/>
      <c r="D187" s="377"/>
      <c r="H187" s="378"/>
      <c r="I187" s="378"/>
      <c r="O187" s="36"/>
    </row>
  </sheetData>
  <sheetProtection sheet="1"/>
  <mergeCells count="5">
    <mergeCell ref="A1:W1"/>
    <mergeCell ref="A2:W2"/>
    <mergeCell ref="A3:W3"/>
    <mergeCell ref="A4:W4"/>
    <mergeCell ref="A5:W5"/>
  </mergeCells>
  <phoneticPr fontId="1" type="noConversion"/>
  <printOptions horizontalCentered="1"/>
  <pageMargins left="0.25" right="0.25" top="0.25" bottom="0.25" header="0" footer="0.2"/>
  <pageSetup scale="44" fitToHeight="0" orientation="landscape" r:id="rId1"/>
  <headerFooter alignWithMargins="0">
    <oddFooter>&amp;L&amp;10&amp;Z&amp;F_&amp;A
&amp;P of &amp;N</oddFooter>
  </headerFooter>
  <rowBreaks count="1" manualBreakCount="1">
    <brk id="70" max="22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30"/>
  <sheetViews>
    <sheetView topLeftCell="A7" workbookViewId="0">
      <selection activeCell="B15" sqref="B15"/>
    </sheetView>
  </sheetViews>
  <sheetFormatPr defaultRowHeight="15"/>
  <cols>
    <col min="1" max="1" width="28.21875" style="2" bestFit="1" customWidth="1"/>
    <col min="2" max="2" width="15.88671875" style="2" customWidth="1"/>
    <col min="3" max="3" width="14.88671875" style="308" bestFit="1" customWidth="1"/>
    <col min="4" max="4" width="13.109375" style="308" customWidth="1"/>
    <col min="5" max="5" width="16.88671875" style="308" customWidth="1"/>
    <col min="6" max="6" width="13.88671875" style="308" customWidth="1"/>
    <col min="7" max="7" width="12.44140625" style="308" customWidth="1"/>
    <col min="8" max="8" width="13.77734375" style="308" customWidth="1"/>
    <col min="9" max="9" width="13.6640625" style="308" customWidth="1"/>
    <col min="10" max="11" width="12.33203125" style="308" customWidth="1"/>
    <col min="12" max="12" width="12" style="308" customWidth="1"/>
    <col min="13" max="13" width="15.109375" style="308" bestFit="1" customWidth="1"/>
    <col min="14" max="14" width="12.77734375" style="308" bestFit="1" customWidth="1"/>
    <col min="15" max="15" width="10.88671875" style="308" bestFit="1" customWidth="1"/>
    <col min="16" max="16" width="15.109375" style="308" customWidth="1"/>
    <col min="17" max="17" width="14.88671875" style="308" customWidth="1"/>
    <col min="18" max="18" width="20.33203125" style="2" customWidth="1"/>
    <col min="19" max="19" width="14.5546875" style="2" bestFit="1" customWidth="1"/>
  </cols>
  <sheetData>
    <row r="1" spans="1:21" ht="18">
      <c r="A1" s="175" t="s">
        <v>19</v>
      </c>
      <c r="B1" s="1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1"/>
      <c r="R1" s="57"/>
      <c r="S1" s="1"/>
    </row>
    <row r="2" spans="1:21" ht="18">
      <c r="A2" s="175" t="s">
        <v>110</v>
      </c>
      <c r="B2" s="1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1"/>
      <c r="R2" s="57"/>
      <c r="S2" s="1"/>
    </row>
    <row r="3" spans="1:21" ht="18">
      <c r="A3" s="175" t="s">
        <v>113</v>
      </c>
      <c r="B3" s="1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1"/>
      <c r="R3" s="57"/>
      <c r="S3" s="1"/>
    </row>
    <row r="4" spans="1:21" ht="18">
      <c r="A4" s="175" t="s">
        <v>98</v>
      </c>
      <c r="B4" s="1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1"/>
      <c r="S4" s="1"/>
    </row>
    <row r="5" spans="1:21" ht="18">
      <c r="A5" s="175" t="s">
        <v>105</v>
      </c>
      <c r="B5" s="268">
        <f>Reconciliation!$C$6</f>
        <v>44561</v>
      </c>
      <c r="C5" s="290"/>
      <c r="D5" s="290"/>
      <c r="E5" s="290"/>
      <c r="F5" s="290"/>
      <c r="G5" s="290"/>
      <c r="H5" s="290"/>
      <c r="I5" s="290"/>
      <c r="J5" s="290"/>
      <c r="K5" s="290"/>
      <c r="L5" s="290"/>
      <c r="M5" s="290"/>
      <c r="N5" s="290"/>
      <c r="O5" s="290"/>
      <c r="P5" s="290"/>
      <c r="Q5" s="291"/>
      <c r="R5" s="56"/>
      <c r="S5" s="1"/>
    </row>
    <row r="6" spans="1:21">
      <c r="G6" s="315"/>
      <c r="H6" s="315"/>
      <c r="S6"/>
    </row>
    <row r="7" spans="1:21" s="318" customFormat="1" ht="54" customHeight="1" thickBot="1">
      <c r="A7" s="94" t="s">
        <v>1</v>
      </c>
      <c r="B7" s="72" t="s">
        <v>26</v>
      </c>
      <c r="C7" s="274" t="s">
        <v>59</v>
      </c>
      <c r="D7" s="299" t="s">
        <v>97</v>
      </c>
      <c r="E7" s="275" t="s">
        <v>76</v>
      </c>
      <c r="F7" s="276" t="s">
        <v>48</v>
      </c>
      <c r="G7" s="316" t="s">
        <v>96</v>
      </c>
      <c r="H7" s="317" t="s">
        <v>43</v>
      </c>
      <c r="I7" s="299" t="s">
        <v>95</v>
      </c>
      <c r="J7" s="299" t="s">
        <v>47</v>
      </c>
      <c r="K7" s="299" t="s">
        <v>123</v>
      </c>
      <c r="L7" s="299" t="s">
        <v>94</v>
      </c>
      <c r="M7" s="299" t="s">
        <v>41</v>
      </c>
      <c r="N7" s="299" t="s">
        <v>23</v>
      </c>
      <c r="O7" s="299" t="s">
        <v>93</v>
      </c>
      <c r="P7" s="306" t="s">
        <v>25</v>
      </c>
      <c r="Q7" s="299" t="s">
        <v>24</v>
      </c>
      <c r="R7" s="93" t="s">
        <v>15</v>
      </c>
    </row>
    <row r="8" spans="1:21" ht="24.95" customHeight="1" thickTop="1">
      <c r="A8" s="177" t="s">
        <v>141</v>
      </c>
      <c r="B8" s="92"/>
      <c r="C8" s="300">
        <v>-491230.27999999997</v>
      </c>
      <c r="D8" s="300">
        <v>-42110.77</v>
      </c>
      <c r="E8" s="300">
        <v>2010618.8199999998</v>
      </c>
      <c r="F8" s="300">
        <v>19231.29</v>
      </c>
      <c r="G8" s="300">
        <v>35445.19</v>
      </c>
      <c r="H8" s="282">
        <v>-28559.200000000001</v>
      </c>
      <c r="I8" s="300">
        <v>136602.1</v>
      </c>
      <c r="J8" s="300">
        <v>2857.37</v>
      </c>
      <c r="K8" s="300">
        <v>100.81</v>
      </c>
      <c r="L8" s="300">
        <v>8589.23</v>
      </c>
      <c r="M8" s="300">
        <v>532150.93000000005</v>
      </c>
      <c r="N8" s="300">
        <v>94375</v>
      </c>
      <c r="O8" s="300">
        <v>371.05</v>
      </c>
      <c r="P8" s="283">
        <f>61942.5-0.005</f>
        <v>61942.495000000003</v>
      </c>
      <c r="Q8" s="300">
        <v>-123695.54633333332</v>
      </c>
      <c r="R8" s="222">
        <v>218366.87766666675</v>
      </c>
      <c r="S8"/>
    </row>
    <row r="9" spans="1:21" s="82" customFormat="1" ht="24.95" customHeight="1">
      <c r="A9" s="91" t="s">
        <v>3</v>
      </c>
      <c r="B9" s="90" t="s">
        <v>38</v>
      </c>
      <c r="C9" s="434">
        <v>4550</v>
      </c>
      <c r="D9" s="434"/>
      <c r="E9" s="434">
        <v>3850</v>
      </c>
      <c r="F9" s="434"/>
      <c r="G9" s="434">
        <v>-3850</v>
      </c>
      <c r="H9" s="430"/>
      <c r="I9" s="434"/>
      <c r="J9" s="434"/>
      <c r="K9" s="434"/>
      <c r="L9" s="434"/>
      <c r="M9" s="434"/>
      <c r="N9" s="434"/>
      <c r="O9" s="434"/>
      <c r="P9" s="284">
        <f>SUM(C9:O9)</f>
        <v>4550</v>
      </c>
      <c r="Q9" s="301">
        <f>-'CONV FN__ AMORT'!J153</f>
        <v>-8749.17</v>
      </c>
      <c r="R9" s="89">
        <f>IF(Q9&lt;&gt;0,+R8+P9+Q9,"")</f>
        <v>214167.70766666674</v>
      </c>
      <c r="S9" s="484" t="s">
        <v>145</v>
      </c>
      <c r="T9" s="485"/>
      <c r="U9" s="485"/>
    </row>
    <row r="10" spans="1:21" s="82" customFormat="1" ht="24.95" customHeight="1">
      <c r="A10" s="88" t="s">
        <v>4</v>
      </c>
      <c r="B10" s="87" t="s">
        <v>38</v>
      </c>
      <c r="C10" s="435">
        <v>2100</v>
      </c>
      <c r="D10" s="435"/>
      <c r="E10" s="435">
        <v>2980</v>
      </c>
      <c r="F10" s="435"/>
      <c r="G10" s="435">
        <v>350</v>
      </c>
      <c r="H10" s="431"/>
      <c r="I10" s="435"/>
      <c r="J10" s="435"/>
      <c r="K10" s="435"/>
      <c r="L10" s="435"/>
      <c r="M10" s="435"/>
      <c r="N10" s="435"/>
      <c r="O10" s="435"/>
      <c r="P10" s="285">
        <f t="shared" ref="P10:P20" si="0">SUM(C10:O10)</f>
        <v>5430</v>
      </c>
      <c r="Q10" s="302">
        <f>-'CONV FN__ AMORT'!K153</f>
        <v>-8648.07</v>
      </c>
      <c r="R10" s="86">
        <f t="shared" ref="R10:R20" si="1">IF(Q10&lt;&gt;0,+R9+P10+Q10,"")</f>
        <v>210949.63766666673</v>
      </c>
    </row>
    <row r="11" spans="1:21" s="82" customFormat="1" ht="24.95" customHeight="1">
      <c r="A11" s="91" t="s">
        <v>5</v>
      </c>
      <c r="B11" s="90" t="s">
        <v>38</v>
      </c>
      <c r="C11" s="434">
        <v>4900</v>
      </c>
      <c r="D11" s="434"/>
      <c r="E11" s="434">
        <v>2450</v>
      </c>
      <c r="F11" s="434"/>
      <c r="G11" s="434">
        <v>350</v>
      </c>
      <c r="H11" s="430"/>
      <c r="I11" s="434"/>
      <c r="J11" s="434"/>
      <c r="K11" s="434"/>
      <c r="L11" s="434"/>
      <c r="M11" s="434"/>
      <c r="N11" s="434"/>
      <c r="O11" s="434"/>
      <c r="P11" s="284">
        <f t="shared" si="0"/>
        <v>7700</v>
      </c>
      <c r="Q11" s="301">
        <f>-'CONV FN__ AMORT'!L153</f>
        <v>-8625.51</v>
      </c>
      <c r="R11" s="89">
        <f t="shared" si="1"/>
        <v>210024.12766666673</v>
      </c>
    </row>
    <row r="12" spans="1:21" s="82" customFormat="1" ht="24.95" customHeight="1">
      <c r="A12" s="88" t="s">
        <v>6</v>
      </c>
      <c r="B12" s="87" t="s">
        <v>38</v>
      </c>
      <c r="C12" s="435">
        <v>1750</v>
      </c>
      <c r="D12" s="435"/>
      <c r="E12" s="435">
        <v>4831</v>
      </c>
      <c r="F12" s="435"/>
      <c r="G12" s="435">
        <v>-700</v>
      </c>
      <c r="H12" s="431"/>
      <c r="I12" s="435"/>
      <c r="J12" s="435"/>
      <c r="K12" s="435"/>
      <c r="L12" s="435"/>
      <c r="M12" s="435"/>
      <c r="N12" s="435"/>
      <c r="O12" s="435"/>
      <c r="P12" s="285">
        <f>SUM(C12:O12)</f>
        <v>5881</v>
      </c>
      <c r="Q12" s="302">
        <f>-'CONV FN__ AMORT'!M153</f>
        <v>-8590.3700000000008</v>
      </c>
      <c r="R12" s="86">
        <f t="shared" si="1"/>
        <v>207314.75766666673</v>
      </c>
    </row>
    <row r="13" spans="1:21" s="82" customFormat="1" ht="24.95" customHeight="1">
      <c r="A13" s="91" t="s">
        <v>7</v>
      </c>
      <c r="B13" s="90" t="s">
        <v>38</v>
      </c>
      <c r="C13" s="434">
        <v>4200</v>
      </c>
      <c r="D13" s="434"/>
      <c r="E13" s="434">
        <v>1050</v>
      </c>
      <c r="F13" s="434"/>
      <c r="G13" s="434">
        <v>0</v>
      </c>
      <c r="H13" s="430"/>
      <c r="I13" s="434"/>
      <c r="J13" s="434"/>
      <c r="K13" s="434"/>
      <c r="L13" s="434"/>
      <c r="M13" s="434"/>
      <c r="N13" s="434"/>
      <c r="O13" s="434"/>
      <c r="P13" s="284">
        <f t="shared" si="0"/>
        <v>5250</v>
      </c>
      <c r="Q13" s="301">
        <f>-'CONV FN__ AMORT'!N153</f>
        <v>-8567.09</v>
      </c>
      <c r="R13" s="89">
        <f t="shared" si="1"/>
        <v>203997.66766666673</v>
      </c>
    </row>
    <row r="14" spans="1:21" s="82" customFormat="1" ht="24.95" customHeight="1">
      <c r="A14" s="88" t="s">
        <v>8</v>
      </c>
      <c r="B14" s="87" t="s">
        <v>38</v>
      </c>
      <c r="C14" s="435">
        <v>1750</v>
      </c>
      <c r="D14" s="435"/>
      <c r="E14" s="435">
        <v>4030.5</v>
      </c>
      <c r="F14" s="435"/>
      <c r="G14" s="435">
        <v>350</v>
      </c>
      <c r="H14" s="431"/>
      <c r="I14" s="435"/>
      <c r="J14" s="435"/>
      <c r="K14" s="435"/>
      <c r="L14" s="435"/>
      <c r="M14" s="436"/>
      <c r="N14" s="435"/>
      <c r="O14" s="435"/>
      <c r="P14" s="285">
        <f>SUM(C14:O14)</f>
        <v>6130.5</v>
      </c>
      <c r="Q14" s="302">
        <f>-'CONV FN__ AMORT'!O153</f>
        <v>-8493.6200000000008</v>
      </c>
      <c r="R14" s="86">
        <f t="shared" si="1"/>
        <v>201634.54766666674</v>
      </c>
    </row>
    <row r="15" spans="1:21" s="82" customFormat="1" ht="24.95" customHeight="1">
      <c r="A15" s="91" t="s">
        <v>9</v>
      </c>
      <c r="B15" s="90" t="s">
        <v>38</v>
      </c>
      <c r="C15" s="430">
        <v>2800</v>
      </c>
      <c r="D15" s="430"/>
      <c r="E15" s="430">
        <v>1750</v>
      </c>
      <c r="F15" s="430"/>
      <c r="G15" s="430">
        <v>-350</v>
      </c>
      <c r="H15" s="430"/>
      <c r="I15" s="434"/>
      <c r="J15" s="434"/>
      <c r="K15" s="434"/>
      <c r="L15" s="434"/>
      <c r="M15" s="434"/>
      <c r="N15" s="434"/>
      <c r="O15" s="434"/>
      <c r="P15" s="284">
        <f t="shared" si="0"/>
        <v>4200</v>
      </c>
      <c r="Q15" s="301">
        <f>-'CONV FN__ AMORT'!P153</f>
        <v>-8382.24</v>
      </c>
      <c r="R15" s="217">
        <f t="shared" si="1"/>
        <v>197452.30766666675</v>
      </c>
    </row>
    <row r="16" spans="1:21" s="82" customFormat="1" ht="24.95" customHeight="1">
      <c r="A16" s="88" t="s">
        <v>10</v>
      </c>
      <c r="B16" s="58" t="s">
        <v>38</v>
      </c>
      <c r="C16" s="436">
        <v>3500</v>
      </c>
      <c r="D16" s="435"/>
      <c r="E16" s="435">
        <v>4200</v>
      </c>
      <c r="F16" s="435"/>
      <c r="G16" s="435">
        <v>700</v>
      </c>
      <c r="H16" s="431"/>
      <c r="I16" s="435"/>
      <c r="J16" s="435"/>
      <c r="K16" s="435"/>
      <c r="L16" s="435"/>
      <c r="M16" s="435"/>
      <c r="N16" s="435"/>
      <c r="O16" s="435"/>
      <c r="P16" s="285">
        <f t="shared" si="0"/>
        <v>8400</v>
      </c>
      <c r="Q16" s="302">
        <f>-'CONV FN__ AMORT'!Q153</f>
        <v>-8311.369999999999</v>
      </c>
      <c r="R16" s="216">
        <f t="shared" si="1"/>
        <v>197540.93766666675</v>
      </c>
    </row>
    <row r="17" spans="1:19" s="82" customFormat="1" ht="24.95" customHeight="1">
      <c r="A17" s="91" t="s">
        <v>11</v>
      </c>
      <c r="B17" s="90" t="s">
        <v>38</v>
      </c>
      <c r="C17" s="434">
        <v>2100</v>
      </c>
      <c r="D17" s="434"/>
      <c r="E17" s="434">
        <v>1400</v>
      </c>
      <c r="F17" s="434"/>
      <c r="G17" s="434">
        <v>-700</v>
      </c>
      <c r="H17" s="430"/>
      <c r="I17" s="434"/>
      <c r="J17" s="434"/>
      <c r="K17" s="434"/>
      <c r="L17" s="434"/>
      <c r="M17" s="434"/>
      <c r="N17" s="434"/>
      <c r="O17" s="434"/>
      <c r="P17" s="284">
        <f t="shared" si="0"/>
        <v>2800</v>
      </c>
      <c r="Q17" s="301">
        <f>-'CONV FN__ AMORT'!R153</f>
        <v>-8067.4800000000005</v>
      </c>
      <c r="R17" s="217">
        <f t="shared" si="1"/>
        <v>192273.45766666674</v>
      </c>
    </row>
    <row r="18" spans="1:19" s="82" customFormat="1" ht="24.95" customHeight="1">
      <c r="A18" s="88" t="s">
        <v>12</v>
      </c>
      <c r="B18" s="87" t="s">
        <v>38</v>
      </c>
      <c r="C18" s="435">
        <v>2100</v>
      </c>
      <c r="D18" s="435"/>
      <c r="E18" s="435">
        <v>350</v>
      </c>
      <c r="F18" s="435"/>
      <c r="G18" s="435">
        <v>350</v>
      </c>
      <c r="H18" s="431"/>
      <c r="I18" s="435"/>
      <c r="J18" s="435"/>
      <c r="K18" s="435"/>
      <c r="L18" s="435"/>
      <c r="M18" s="435"/>
      <c r="N18" s="435"/>
      <c r="O18" s="435"/>
      <c r="P18" s="285">
        <f t="shared" si="0"/>
        <v>2800</v>
      </c>
      <c r="Q18" s="303">
        <f>-'CONV FN__ AMORT'!S153</f>
        <v>-7858.22</v>
      </c>
      <c r="R18" s="216">
        <f>IF(Q18&lt;&gt;0,+R17+P18+Q18,"")</f>
        <v>187215.23766666674</v>
      </c>
    </row>
    <row r="19" spans="1:19" s="82" customFormat="1" ht="24.95" customHeight="1">
      <c r="A19" s="91" t="s">
        <v>13</v>
      </c>
      <c r="B19" s="90" t="s">
        <v>38</v>
      </c>
      <c r="C19" s="434">
        <v>1050</v>
      </c>
      <c r="D19" s="434"/>
      <c r="E19" s="434">
        <v>2800</v>
      </c>
      <c r="F19" s="434"/>
      <c r="G19" s="434">
        <v>-350</v>
      </c>
      <c r="H19" s="430"/>
      <c r="I19" s="434"/>
      <c r="J19" s="434"/>
      <c r="K19" s="434"/>
      <c r="L19" s="434"/>
      <c r="M19" s="434"/>
      <c r="N19" s="434"/>
      <c r="O19" s="434"/>
      <c r="P19" s="286">
        <f>SUM(C19:O19)</f>
        <v>3500</v>
      </c>
      <c r="Q19" s="304">
        <f>-'CONV FN__ AMORT'!T153</f>
        <v>-7558.4400000000005</v>
      </c>
      <c r="R19" s="221">
        <f>IF(Q19&lt;&gt;0,+R18+P19+Q19,"")</f>
        <v>183156.79766666674</v>
      </c>
    </row>
    <row r="20" spans="1:19" s="82" customFormat="1" ht="24.95" customHeight="1">
      <c r="A20" s="88" t="s">
        <v>14</v>
      </c>
      <c r="B20" s="87" t="s">
        <v>38</v>
      </c>
      <c r="C20" s="431">
        <v>3150</v>
      </c>
      <c r="D20" s="431"/>
      <c r="E20" s="431">
        <v>1750</v>
      </c>
      <c r="F20" s="431"/>
      <c r="G20" s="431">
        <v>0</v>
      </c>
      <c r="H20" s="431"/>
      <c r="I20" s="431"/>
      <c r="J20" s="431"/>
      <c r="K20" s="431"/>
      <c r="L20" s="431"/>
      <c r="M20" s="431"/>
      <c r="N20" s="431"/>
      <c r="O20" s="431"/>
      <c r="P20" s="285">
        <f t="shared" si="0"/>
        <v>4900</v>
      </c>
      <c r="Q20" s="303">
        <f>-'CONV FN__ AMORT'!U153</f>
        <v>-7569.38</v>
      </c>
      <c r="R20" s="216">
        <f t="shared" si="1"/>
        <v>180487.41766666673</v>
      </c>
    </row>
    <row r="21" spans="1:19" s="82" customFormat="1" ht="24.95" customHeight="1" thickBot="1">
      <c r="A21" s="85" t="s">
        <v>2</v>
      </c>
      <c r="B21" s="84"/>
      <c r="C21" s="305">
        <f>SUM(C8:C20)</f>
        <v>-457280.27999999997</v>
      </c>
      <c r="D21" s="305">
        <f>SUM(D8:D20)</f>
        <v>-42110.77</v>
      </c>
      <c r="E21" s="305">
        <f>SUM(E8:E20)</f>
        <v>2042060.3199999998</v>
      </c>
      <c r="F21" s="305">
        <f>SUM(F8:F20)</f>
        <v>19231.29</v>
      </c>
      <c r="G21" s="305">
        <f t="shared" ref="G21:O21" si="2">SUM(G8:G20)</f>
        <v>31595.190000000002</v>
      </c>
      <c r="H21" s="305">
        <f t="shared" si="2"/>
        <v>-28559.200000000001</v>
      </c>
      <c r="I21" s="305">
        <f t="shared" si="2"/>
        <v>136602.1</v>
      </c>
      <c r="J21" s="305">
        <f t="shared" si="2"/>
        <v>2857.37</v>
      </c>
      <c r="K21" s="305">
        <f t="shared" si="2"/>
        <v>100.81</v>
      </c>
      <c r="L21" s="305">
        <f t="shared" si="2"/>
        <v>8589.23</v>
      </c>
      <c r="M21" s="305">
        <f t="shared" si="2"/>
        <v>532150.93000000005</v>
      </c>
      <c r="N21" s="305">
        <f t="shared" si="2"/>
        <v>94375</v>
      </c>
      <c r="O21" s="305">
        <f t="shared" si="2"/>
        <v>371.05</v>
      </c>
      <c r="P21" s="307">
        <f>SUM(P9:P20)</f>
        <v>61541.5</v>
      </c>
      <c r="Q21" s="305">
        <f>SUM(Q9:Q20)</f>
        <v>-99420.96</v>
      </c>
      <c r="R21" s="83">
        <f>+R8+Q21+P21</f>
        <v>180487.41766666673</v>
      </c>
    </row>
    <row r="22" spans="1:19" ht="15.75" thickTop="1">
      <c r="A22" s="3" t="s">
        <v>0</v>
      </c>
      <c r="B22" s="5"/>
      <c r="C22" s="495"/>
      <c r="D22" s="495"/>
      <c r="E22" s="495"/>
      <c r="F22" s="495"/>
      <c r="G22" s="495"/>
      <c r="H22" s="495"/>
      <c r="I22" s="495"/>
      <c r="J22" s="495"/>
      <c r="K22" s="495"/>
      <c r="L22" s="495"/>
      <c r="M22" s="495"/>
      <c r="N22" s="290"/>
      <c r="O22" s="290"/>
      <c r="P22" s="290"/>
      <c r="Q22" s="291"/>
      <c r="R22" s="4"/>
      <c r="S22" s="4" t="s">
        <v>0</v>
      </c>
    </row>
    <row r="23" spans="1:19">
      <c r="Q23" s="309"/>
    </row>
    <row r="25" spans="1:19" ht="19.5" thickBot="1">
      <c r="C25" s="310"/>
      <c r="D25" s="310"/>
      <c r="E25" s="311"/>
      <c r="F25" s="311"/>
      <c r="G25" s="312"/>
      <c r="I25" s="313"/>
      <c r="J25" s="314"/>
      <c r="K25" s="314"/>
    </row>
    <row r="26" spans="1:19" ht="15.75" thickTop="1"/>
    <row r="27" spans="1:19">
      <c r="P27" s="308">
        <f>10522.39-10506.8</f>
        <v>15.590000000000146</v>
      </c>
    </row>
    <row r="29" spans="1:19">
      <c r="M29" s="315"/>
    </row>
    <row r="30" spans="1:19">
      <c r="M30" s="315"/>
    </row>
  </sheetData>
  <sheetProtection sheet="1"/>
  <mergeCells count="1">
    <mergeCell ref="C22:M22"/>
  </mergeCells>
  <printOptions horizontalCentered="1"/>
  <pageMargins left="0.75" right="0.5" top="0.75" bottom="0.3" header="0" footer="0.2"/>
  <pageSetup scale="38" orientation="landscape" r:id="rId1"/>
  <headerFooter alignWithMargins="0">
    <oddFooter>&amp;L&amp;10&amp;Z&amp;F_&amp;A
&amp;D_&amp;T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C170"/>
  <sheetViews>
    <sheetView topLeftCell="A137" workbookViewId="0">
      <selection activeCell="B151" sqref="B151"/>
    </sheetView>
  </sheetViews>
  <sheetFormatPr defaultRowHeight="15"/>
  <cols>
    <col min="1" max="1" width="13.77734375" customWidth="1"/>
    <col min="2" max="2" width="9.88671875" customWidth="1"/>
    <col min="3" max="3" width="8" customWidth="1"/>
    <col min="4" max="4" width="13" style="68" bestFit="1" customWidth="1"/>
    <col min="5" max="5" width="6.6640625" style="21" bestFit="1" customWidth="1"/>
    <col min="6" max="6" width="6.5546875" style="95" hidden="1" customWidth="1"/>
    <col min="7" max="7" width="8" style="95" hidden="1" customWidth="1"/>
    <col min="8" max="8" width="10.44140625" bestFit="1" customWidth="1"/>
    <col min="9" max="9" width="7.5546875" style="371" customWidth="1"/>
    <col min="10" max="10" width="12.109375" bestFit="1" customWidth="1"/>
    <col min="11" max="11" width="14.21875" customWidth="1"/>
    <col min="12" max="12" width="14" customWidth="1"/>
    <col min="13" max="13" width="15.77734375" customWidth="1"/>
    <col min="14" max="15" width="13.21875" bestFit="1" customWidth="1"/>
    <col min="16" max="16" width="12.88671875" bestFit="1" customWidth="1"/>
    <col min="17" max="17" width="13.21875" bestFit="1" customWidth="1"/>
    <col min="18" max="18" width="13.6640625" bestFit="1" customWidth="1"/>
    <col min="19" max="19" width="12.6640625" bestFit="1" customWidth="1"/>
    <col min="20" max="21" width="13.21875" bestFit="1" customWidth="1"/>
    <col min="22" max="22" width="13.33203125" customWidth="1"/>
    <col min="23" max="23" width="14.44140625" customWidth="1"/>
    <col min="24" max="24" width="9.5546875" style="374" bestFit="1" customWidth="1"/>
    <col min="25" max="26" width="8.88671875" style="375"/>
    <col min="27" max="28" width="10" style="375" bestFit="1" customWidth="1"/>
    <col min="29" max="29" width="9.5546875" style="375" bestFit="1" customWidth="1"/>
    <col min="30" max="16384" width="8.88671875" style="375"/>
  </cols>
  <sheetData>
    <row r="1" spans="1:29" s="225" customFormat="1" ht="20.25">
      <c r="A1" s="141" t="s">
        <v>19</v>
      </c>
      <c r="B1" s="144"/>
      <c r="C1" s="141"/>
      <c r="D1" s="143"/>
      <c r="E1" s="350"/>
      <c r="F1" s="142"/>
      <c r="G1" s="142"/>
      <c r="H1" s="141"/>
      <c r="I1" s="358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353"/>
    </row>
    <row r="2" spans="1:29" s="225" customFormat="1" ht="20.25">
      <c r="A2" s="141" t="s">
        <v>110</v>
      </c>
      <c r="B2" s="144"/>
      <c r="C2" s="141"/>
      <c r="D2" s="143"/>
      <c r="E2" s="350"/>
      <c r="F2" s="142"/>
      <c r="G2" s="142"/>
      <c r="H2" s="141"/>
      <c r="I2" s="358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353"/>
    </row>
    <row r="3" spans="1:29" s="225" customFormat="1" ht="20.25">
      <c r="A3" s="141" t="s">
        <v>113</v>
      </c>
      <c r="B3" s="144"/>
      <c r="C3" s="141"/>
      <c r="D3" s="143"/>
      <c r="E3" s="350"/>
      <c r="F3" s="142"/>
      <c r="G3" s="142"/>
      <c r="H3" s="141"/>
      <c r="I3" s="358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353"/>
    </row>
    <row r="4" spans="1:29" s="225" customFormat="1">
      <c r="A4" s="137" t="s">
        <v>103</v>
      </c>
      <c r="B4" s="140"/>
      <c r="C4" s="137"/>
      <c r="D4" s="139"/>
      <c r="E4" s="137"/>
      <c r="F4" s="138"/>
      <c r="G4" s="138"/>
      <c r="H4" s="137"/>
      <c r="I4" s="359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353"/>
    </row>
    <row r="5" spans="1:29" s="225" customFormat="1">
      <c r="A5" s="137" t="s">
        <v>102</v>
      </c>
      <c r="B5" s="140"/>
      <c r="C5" s="137"/>
      <c r="D5" s="139"/>
      <c r="E5" s="137"/>
      <c r="F5" s="138"/>
      <c r="G5" s="138"/>
      <c r="H5" s="137"/>
      <c r="I5" s="359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353"/>
    </row>
    <row r="6" spans="1:29" s="373" customFormat="1" ht="15.75">
      <c r="A6" s="269">
        <f>'CONV FN__ INPUT'!B5</f>
        <v>44561</v>
      </c>
      <c r="B6" s="269"/>
      <c r="C6" s="269"/>
      <c r="D6" s="269"/>
      <c r="E6" s="351"/>
      <c r="F6" s="269"/>
      <c r="G6" s="269"/>
      <c r="H6" s="270"/>
      <c r="I6" s="360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372"/>
    </row>
    <row r="7" spans="1:29" s="225" customFormat="1" ht="65.25" thickBot="1">
      <c r="A7" s="136" t="s">
        <v>101</v>
      </c>
      <c r="B7" s="136" t="s">
        <v>32</v>
      </c>
      <c r="C7" s="136" t="s">
        <v>22</v>
      </c>
      <c r="D7" s="384" t="s">
        <v>144</v>
      </c>
      <c r="E7" s="352" t="s">
        <v>100</v>
      </c>
      <c r="F7" s="178" t="s">
        <v>107</v>
      </c>
      <c r="G7" s="65" t="s">
        <v>109</v>
      </c>
      <c r="H7" s="136" t="s">
        <v>16</v>
      </c>
      <c r="I7" s="345" t="s">
        <v>21</v>
      </c>
      <c r="J7" s="346">
        <v>44197</v>
      </c>
      <c r="K7" s="347">
        <f t="shared" ref="K7:U7" si="0">J7+31</f>
        <v>44228</v>
      </c>
      <c r="L7" s="347">
        <f t="shared" si="0"/>
        <v>44259</v>
      </c>
      <c r="M7" s="347">
        <f t="shared" si="0"/>
        <v>44290</v>
      </c>
      <c r="N7" s="347">
        <f t="shared" si="0"/>
        <v>44321</v>
      </c>
      <c r="O7" s="347">
        <f t="shared" si="0"/>
        <v>44352</v>
      </c>
      <c r="P7" s="347">
        <f t="shared" si="0"/>
        <v>44383</v>
      </c>
      <c r="Q7" s="347">
        <f t="shared" si="0"/>
        <v>44414</v>
      </c>
      <c r="R7" s="347">
        <f t="shared" si="0"/>
        <v>44445</v>
      </c>
      <c r="S7" s="347">
        <f t="shared" si="0"/>
        <v>44476</v>
      </c>
      <c r="T7" s="347">
        <f t="shared" si="0"/>
        <v>44507</v>
      </c>
      <c r="U7" s="347">
        <f t="shared" si="0"/>
        <v>44538</v>
      </c>
      <c r="V7" s="348" t="s">
        <v>20</v>
      </c>
      <c r="W7" s="349" t="s">
        <v>129</v>
      </c>
      <c r="X7" s="353"/>
    </row>
    <row r="8" spans="1:29" s="225" customFormat="1">
      <c r="A8" s="356">
        <v>17029.55</v>
      </c>
      <c r="B8" s="355"/>
      <c r="C8" s="103">
        <f t="shared" ref="C8:C60" si="1">+A8-ROUND(A8/60,2)*59</f>
        <v>283.58000000000175</v>
      </c>
      <c r="D8" s="154">
        <v>-0.84</v>
      </c>
      <c r="E8" s="129">
        <f t="shared" ref="E8:E60" si="2">+I8+1825</f>
        <v>42004</v>
      </c>
      <c r="F8" s="183">
        <v>24</v>
      </c>
      <c r="G8" s="182" t="e">
        <f t="shared" ref="G8:G43" si="3">+J8*F8</f>
        <v>#VALUE!</v>
      </c>
      <c r="H8" s="130">
        <f t="shared" ref="H8:H60" si="4">+ROUND((+A8-C8)/59,2)</f>
        <v>283.83</v>
      </c>
      <c r="I8" s="361">
        <v>40179</v>
      </c>
      <c r="J8" s="150" t="str">
        <f t="shared" ref="J8:U21" si="5">IF(J$7&lt;$I8,"",IF(J$7=$I8,+$C8,IF(J$7&lt;=$E8,+(ROUND(($A8-$C8)/59,2)),"- - DONE - -")))</f>
        <v>- - DONE - -</v>
      </c>
      <c r="K8" s="150" t="str">
        <f t="shared" si="5"/>
        <v>- - DONE - -</v>
      </c>
      <c r="L8" s="150" t="str">
        <f t="shared" si="5"/>
        <v>- - DONE - -</v>
      </c>
      <c r="M8" s="150" t="str">
        <f t="shared" si="5"/>
        <v>- - DONE - -</v>
      </c>
      <c r="N8" s="150" t="str">
        <f t="shared" si="5"/>
        <v>- - DONE - -</v>
      </c>
      <c r="O8" s="150" t="str">
        <f t="shared" si="5"/>
        <v>- - DONE - -</v>
      </c>
      <c r="P8" s="150" t="str">
        <f t="shared" si="5"/>
        <v>- - DONE - -</v>
      </c>
      <c r="Q8" s="150" t="str">
        <f t="shared" si="5"/>
        <v>- - DONE - -</v>
      </c>
      <c r="R8" s="150" t="str">
        <f t="shared" si="5"/>
        <v>- - DONE - -</v>
      </c>
      <c r="S8" s="150" t="str">
        <f t="shared" si="5"/>
        <v>- - DONE - -</v>
      </c>
      <c r="T8" s="150" t="str">
        <f t="shared" si="5"/>
        <v>- - DONE - -</v>
      </c>
      <c r="U8" s="357" t="str">
        <f t="shared" si="5"/>
        <v>- - DONE - -</v>
      </c>
      <c r="V8" s="125">
        <f t="shared" ref="V8:V60" si="6">SUM(J8:U8)</f>
        <v>0</v>
      </c>
      <c r="W8" s="153">
        <f>D8-V8-0.42</f>
        <v>-1.26</v>
      </c>
      <c r="X8" s="353"/>
      <c r="Y8" s="226"/>
      <c r="Z8" s="226"/>
      <c r="AA8" s="226"/>
      <c r="AB8" s="226"/>
      <c r="AC8" s="226"/>
    </row>
    <row r="9" spans="1:29" s="225" customFormat="1">
      <c r="A9" s="154">
        <v>7003.12</v>
      </c>
      <c r="B9" s="103"/>
      <c r="C9" s="103">
        <f t="shared" si="1"/>
        <v>116.64000000000033</v>
      </c>
      <c r="D9" s="154">
        <v>0</v>
      </c>
      <c r="E9" s="128">
        <f t="shared" si="2"/>
        <v>42035</v>
      </c>
      <c r="F9" s="179">
        <v>25</v>
      </c>
      <c r="G9" s="180" t="e">
        <f t="shared" si="3"/>
        <v>#VALUE!</v>
      </c>
      <c r="H9" s="127">
        <f t="shared" si="4"/>
        <v>116.72</v>
      </c>
      <c r="I9" s="362">
        <v>40210</v>
      </c>
      <c r="J9" s="126" t="str">
        <f t="shared" si="5"/>
        <v>- - DONE - -</v>
      </c>
      <c r="K9" s="126" t="str">
        <f t="shared" si="5"/>
        <v>- - DONE - -</v>
      </c>
      <c r="L9" s="126" t="str">
        <f t="shared" si="5"/>
        <v>- - DONE - -</v>
      </c>
      <c r="M9" s="126" t="str">
        <f t="shared" si="5"/>
        <v>- - DONE - -</v>
      </c>
      <c r="N9" s="126" t="str">
        <f t="shared" si="5"/>
        <v>- - DONE - -</v>
      </c>
      <c r="O9" s="126" t="str">
        <f t="shared" si="5"/>
        <v>- - DONE - -</v>
      </c>
      <c r="P9" s="126" t="str">
        <f t="shared" si="5"/>
        <v>- - DONE - -</v>
      </c>
      <c r="Q9" s="126" t="str">
        <f t="shared" si="5"/>
        <v>- - DONE - -</v>
      </c>
      <c r="R9" s="126" t="str">
        <f t="shared" si="5"/>
        <v>- - DONE - -</v>
      </c>
      <c r="S9" s="126" t="str">
        <f t="shared" si="5"/>
        <v>- - DONE - -</v>
      </c>
      <c r="T9" s="126" t="str">
        <f t="shared" si="5"/>
        <v>- - DONE - -</v>
      </c>
      <c r="U9" s="126" t="str">
        <f t="shared" si="5"/>
        <v>- - DONE - -</v>
      </c>
      <c r="V9" s="125">
        <f t="shared" si="6"/>
        <v>0</v>
      </c>
      <c r="W9" s="153">
        <f t="shared" ref="W9:W72" si="7">D9-V9</f>
        <v>0</v>
      </c>
      <c r="X9" s="353"/>
      <c r="Y9" s="226"/>
      <c r="Z9" s="226"/>
      <c r="AA9" s="226"/>
      <c r="AB9" s="226"/>
      <c r="AC9" s="226"/>
    </row>
    <row r="10" spans="1:29" s="225" customFormat="1">
      <c r="A10" s="154">
        <v>2489.4699999999998</v>
      </c>
      <c r="B10" s="103"/>
      <c r="C10" s="103">
        <f t="shared" si="1"/>
        <v>41.559999999999491</v>
      </c>
      <c r="D10" s="154">
        <v>0</v>
      </c>
      <c r="E10" s="128">
        <f t="shared" si="2"/>
        <v>42063</v>
      </c>
      <c r="F10" s="179">
        <v>26</v>
      </c>
      <c r="G10" s="180" t="e">
        <f t="shared" si="3"/>
        <v>#VALUE!</v>
      </c>
      <c r="H10" s="127">
        <f t="shared" si="4"/>
        <v>41.49</v>
      </c>
      <c r="I10" s="362">
        <v>40238</v>
      </c>
      <c r="J10" s="126" t="str">
        <f t="shared" si="5"/>
        <v>- - DONE - -</v>
      </c>
      <c r="K10" s="126" t="str">
        <f t="shared" si="5"/>
        <v>- - DONE - -</v>
      </c>
      <c r="L10" s="126" t="str">
        <f t="shared" si="5"/>
        <v>- - DONE - -</v>
      </c>
      <c r="M10" s="126" t="str">
        <f t="shared" si="5"/>
        <v>- - DONE - -</v>
      </c>
      <c r="N10" s="126" t="str">
        <f t="shared" si="5"/>
        <v>- - DONE - -</v>
      </c>
      <c r="O10" s="126" t="str">
        <f t="shared" si="5"/>
        <v>- - DONE - -</v>
      </c>
      <c r="P10" s="126" t="str">
        <f t="shared" si="5"/>
        <v>- - DONE - -</v>
      </c>
      <c r="Q10" s="126" t="str">
        <f t="shared" si="5"/>
        <v>- - DONE - -</v>
      </c>
      <c r="R10" s="126" t="str">
        <f t="shared" si="5"/>
        <v>- - DONE - -</v>
      </c>
      <c r="S10" s="126" t="str">
        <f t="shared" si="5"/>
        <v>- - DONE - -</v>
      </c>
      <c r="T10" s="126" t="str">
        <f t="shared" si="5"/>
        <v>- - DONE - -</v>
      </c>
      <c r="U10" s="126" t="str">
        <f t="shared" si="5"/>
        <v>- - DONE - -</v>
      </c>
      <c r="V10" s="125">
        <f t="shared" si="6"/>
        <v>0</v>
      </c>
      <c r="W10" s="124">
        <f t="shared" si="7"/>
        <v>0</v>
      </c>
      <c r="X10" s="353"/>
      <c r="Y10" s="226"/>
      <c r="Z10" s="226"/>
      <c r="AA10" s="226"/>
      <c r="AB10" s="226"/>
      <c r="AC10" s="226"/>
    </row>
    <row r="11" spans="1:29" s="225" customFormat="1">
      <c r="A11" s="154">
        <v>18924.41</v>
      </c>
      <c r="B11" s="103"/>
      <c r="C11" s="103">
        <f t="shared" si="1"/>
        <v>315.21999999999753</v>
      </c>
      <c r="D11" s="154">
        <v>0</v>
      </c>
      <c r="E11" s="128">
        <f t="shared" si="2"/>
        <v>42094</v>
      </c>
      <c r="F11" s="179">
        <v>27</v>
      </c>
      <c r="G11" s="180" t="e">
        <f t="shared" si="3"/>
        <v>#VALUE!</v>
      </c>
      <c r="H11" s="127">
        <f t="shared" si="4"/>
        <v>315.41000000000003</v>
      </c>
      <c r="I11" s="362">
        <v>40269</v>
      </c>
      <c r="J11" s="126" t="str">
        <f t="shared" si="5"/>
        <v>- - DONE - -</v>
      </c>
      <c r="K11" s="126" t="str">
        <f t="shared" si="5"/>
        <v>- - DONE - -</v>
      </c>
      <c r="L11" s="126" t="str">
        <f t="shared" si="5"/>
        <v>- - DONE - -</v>
      </c>
      <c r="M11" s="126" t="str">
        <f t="shared" si="5"/>
        <v>- - DONE - -</v>
      </c>
      <c r="N11" s="126" t="str">
        <f t="shared" si="5"/>
        <v>- - DONE - -</v>
      </c>
      <c r="O11" s="126" t="str">
        <f t="shared" si="5"/>
        <v>- - DONE - -</v>
      </c>
      <c r="P11" s="126" t="str">
        <f t="shared" si="5"/>
        <v>- - DONE - -</v>
      </c>
      <c r="Q11" s="126" t="str">
        <f t="shared" si="5"/>
        <v>- - DONE - -</v>
      </c>
      <c r="R11" s="126" t="str">
        <f t="shared" si="5"/>
        <v>- - DONE - -</v>
      </c>
      <c r="S11" s="126" t="str">
        <f t="shared" si="5"/>
        <v>- - DONE - -</v>
      </c>
      <c r="T11" s="126" t="str">
        <f t="shared" si="5"/>
        <v>- - DONE - -</v>
      </c>
      <c r="U11" s="126" t="str">
        <f t="shared" si="5"/>
        <v>- - DONE - -</v>
      </c>
      <c r="V11" s="125">
        <f t="shared" si="6"/>
        <v>0</v>
      </c>
      <c r="W11" s="124">
        <f t="shared" si="7"/>
        <v>0</v>
      </c>
      <c r="X11" s="353"/>
      <c r="Y11" s="226"/>
      <c r="Z11" s="226"/>
      <c r="AA11" s="226"/>
      <c r="AB11" s="226"/>
      <c r="AC11" s="226"/>
    </row>
    <row r="12" spans="1:29" s="225" customFormat="1">
      <c r="A12" s="154">
        <v>16051.14</v>
      </c>
      <c r="B12" s="103"/>
      <c r="C12" s="103">
        <f t="shared" si="1"/>
        <v>267.46000000000095</v>
      </c>
      <c r="D12" s="154">
        <v>0</v>
      </c>
      <c r="E12" s="128">
        <f t="shared" si="2"/>
        <v>42124</v>
      </c>
      <c r="F12" s="179">
        <v>28</v>
      </c>
      <c r="G12" s="180" t="e">
        <f t="shared" si="3"/>
        <v>#VALUE!</v>
      </c>
      <c r="H12" s="127">
        <f t="shared" si="4"/>
        <v>267.52</v>
      </c>
      <c r="I12" s="362">
        <v>40299</v>
      </c>
      <c r="J12" s="126" t="str">
        <f t="shared" si="5"/>
        <v>- - DONE - -</v>
      </c>
      <c r="K12" s="126" t="str">
        <f t="shared" si="5"/>
        <v>- - DONE - -</v>
      </c>
      <c r="L12" s="126" t="str">
        <f t="shared" si="5"/>
        <v>- - DONE - -</v>
      </c>
      <c r="M12" s="126" t="str">
        <f t="shared" si="5"/>
        <v>- - DONE - -</v>
      </c>
      <c r="N12" s="126" t="str">
        <f t="shared" si="5"/>
        <v>- - DONE - -</v>
      </c>
      <c r="O12" s="126" t="str">
        <f t="shared" si="5"/>
        <v>- - DONE - -</v>
      </c>
      <c r="P12" s="126" t="str">
        <f t="shared" si="5"/>
        <v>- - DONE - -</v>
      </c>
      <c r="Q12" s="126" t="str">
        <f t="shared" si="5"/>
        <v>- - DONE - -</v>
      </c>
      <c r="R12" s="126" t="str">
        <f t="shared" si="5"/>
        <v>- - DONE - -</v>
      </c>
      <c r="S12" s="126" t="str">
        <f t="shared" si="5"/>
        <v>- - DONE - -</v>
      </c>
      <c r="T12" s="126" t="str">
        <f t="shared" si="5"/>
        <v>- - DONE - -</v>
      </c>
      <c r="U12" s="126" t="str">
        <f t="shared" si="5"/>
        <v>- - DONE - -</v>
      </c>
      <c r="V12" s="125">
        <f t="shared" si="6"/>
        <v>0</v>
      </c>
      <c r="W12" s="124">
        <f t="shared" si="7"/>
        <v>0</v>
      </c>
      <c r="X12" s="353"/>
      <c r="Y12" s="226"/>
      <c r="Z12" s="226"/>
      <c r="AA12" s="226"/>
      <c r="AB12" s="226"/>
      <c r="AC12" s="226"/>
    </row>
    <row r="13" spans="1:29" s="225" customFormat="1">
      <c r="A13" s="154">
        <v>25643.94</v>
      </c>
      <c r="B13" s="103"/>
      <c r="C13" s="103">
        <f t="shared" si="1"/>
        <v>427.34000000000015</v>
      </c>
      <c r="D13" s="154">
        <v>0</v>
      </c>
      <c r="E13" s="128">
        <f t="shared" si="2"/>
        <v>42155</v>
      </c>
      <c r="F13" s="179">
        <v>29</v>
      </c>
      <c r="G13" s="180" t="e">
        <f t="shared" si="3"/>
        <v>#VALUE!</v>
      </c>
      <c r="H13" s="127">
        <f t="shared" si="4"/>
        <v>427.4</v>
      </c>
      <c r="I13" s="362">
        <v>40330</v>
      </c>
      <c r="J13" s="126" t="str">
        <f t="shared" si="5"/>
        <v>- - DONE - -</v>
      </c>
      <c r="K13" s="126" t="str">
        <f t="shared" si="5"/>
        <v>- - DONE - -</v>
      </c>
      <c r="L13" s="126" t="str">
        <f t="shared" si="5"/>
        <v>- - DONE - -</v>
      </c>
      <c r="M13" s="126" t="str">
        <f t="shared" si="5"/>
        <v>- - DONE - -</v>
      </c>
      <c r="N13" s="126" t="str">
        <f t="shared" si="5"/>
        <v>- - DONE - -</v>
      </c>
      <c r="O13" s="126" t="str">
        <f t="shared" si="5"/>
        <v>- - DONE - -</v>
      </c>
      <c r="P13" s="126" t="str">
        <f t="shared" si="5"/>
        <v>- - DONE - -</v>
      </c>
      <c r="Q13" s="126" t="str">
        <f t="shared" si="5"/>
        <v>- - DONE - -</v>
      </c>
      <c r="R13" s="126" t="str">
        <f t="shared" si="5"/>
        <v>- - DONE - -</v>
      </c>
      <c r="S13" s="126" t="str">
        <f t="shared" si="5"/>
        <v>- - DONE - -</v>
      </c>
      <c r="T13" s="126" t="str">
        <f t="shared" si="5"/>
        <v>- - DONE - -</v>
      </c>
      <c r="U13" s="126" t="str">
        <f t="shared" si="5"/>
        <v>- - DONE - -</v>
      </c>
      <c r="V13" s="125">
        <f t="shared" si="6"/>
        <v>0</v>
      </c>
      <c r="W13" s="124">
        <f t="shared" si="7"/>
        <v>0</v>
      </c>
      <c r="X13" s="353"/>
      <c r="Y13" s="226"/>
      <c r="Z13" s="226"/>
      <c r="AA13" s="226"/>
      <c r="AB13" s="226"/>
      <c r="AC13" s="226"/>
    </row>
    <row r="14" spans="1:29" s="225" customFormat="1">
      <c r="A14" s="154">
        <v>18014.38</v>
      </c>
      <c r="B14" s="103"/>
      <c r="C14" s="103">
        <f t="shared" si="1"/>
        <v>300.22000000000116</v>
      </c>
      <c r="D14" s="154">
        <v>0</v>
      </c>
      <c r="E14" s="128">
        <f t="shared" si="2"/>
        <v>42185</v>
      </c>
      <c r="F14" s="179">
        <v>30</v>
      </c>
      <c r="G14" s="180" t="e">
        <f t="shared" si="3"/>
        <v>#VALUE!</v>
      </c>
      <c r="H14" s="127">
        <f t="shared" si="4"/>
        <v>300.24</v>
      </c>
      <c r="I14" s="362">
        <v>40360</v>
      </c>
      <c r="J14" s="126" t="str">
        <f t="shared" si="5"/>
        <v>- - DONE - -</v>
      </c>
      <c r="K14" s="126" t="str">
        <f t="shared" si="5"/>
        <v>- - DONE - -</v>
      </c>
      <c r="L14" s="126" t="str">
        <f t="shared" si="5"/>
        <v>- - DONE - -</v>
      </c>
      <c r="M14" s="126" t="str">
        <f t="shared" si="5"/>
        <v>- - DONE - -</v>
      </c>
      <c r="N14" s="126" t="str">
        <f t="shared" si="5"/>
        <v>- - DONE - -</v>
      </c>
      <c r="O14" s="126" t="str">
        <f t="shared" si="5"/>
        <v>- - DONE - -</v>
      </c>
      <c r="P14" s="126" t="str">
        <f t="shared" si="5"/>
        <v>- - DONE - -</v>
      </c>
      <c r="Q14" s="126" t="str">
        <f t="shared" si="5"/>
        <v>- - DONE - -</v>
      </c>
      <c r="R14" s="126" t="str">
        <f t="shared" si="5"/>
        <v>- - DONE - -</v>
      </c>
      <c r="S14" s="126" t="str">
        <f t="shared" si="5"/>
        <v>- - DONE - -</v>
      </c>
      <c r="T14" s="126" t="str">
        <f t="shared" si="5"/>
        <v>- - DONE - -</v>
      </c>
      <c r="U14" s="126" t="str">
        <f t="shared" si="5"/>
        <v>- - DONE - -</v>
      </c>
      <c r="V14" s="125">
        <f t="shared" si="6"/>
        <v>0</v>
      </c>
      <c r="W14" s="124">
        <f t="shared" si="7"/>
        <v>0</v>
      </c>
      <c r="X14" s="353"/>
      <c r="Y14" s="226"/>
      <c r="Z14" s="226"/>
      <c r="AA14" s="226"/>
      <c r="AB14" s="226"/>
      <c r="AC14" s="226"/>
    </row>
    <row r="15" spans="1:29" s="225" customFormat="1">
      <c r="A15" s="154">
        <v>29801.24</v>
      </c>
      <c r="B15" s="103"/>
      <c r="C15" s="103">
        <f t="shared" si="1"/>
        <v>496.53000000000247</v>
      </c>
      <c r="D15" s="154">
        <v>0</v>
      </c>
      <c r="E15" s="128">
        <f t="shared" si="2"/>
        <v>42216</v>
      </c>
      <c r="F15" s="179">
        <v>31</v>
      </c>
      <c r="G15" s="180" t="e">
        <f t="shared" si="3"/>
        <v>#VALUE!</v>
      </c>
      <c r="H15" s="127">
        <f t="shared" si="4"/>
        <v>496.69</v>
      </c>
      <c r="I15" s="362">
        <v>40391</v>
      </c>
      <c r="J15" s="126" t="str">
        <f t="shared" si="5"/>
        <v>- - DONE - -</v>
      </c>
      <c r="K15" s="126" t="str">
        <f t="shared" si="5"/>
        <v>- - DONE - -</v>
      </c>
      <c r="L15" s="126" t="str">
        <f t="shared" si="5"/>
        <v>- - DONE - -</v>
      </c>
      <c r="M15" s="126" t="str">
        <f t="shared" si="5"/>
        <v>- - DONE - -</v>
      </c>
      <c r="N15" s="126" t="str">
        <f t="shared" si="5"/>
        <v>- - DONE - -</v>
      </c>
      <c r="O15" s="126" t="str">
        <f t="shared" si="5"/>
        <v>- - DONE - -</v>
      </c>
      <c r="P15" s="126" t="str">
        <f t="shared" si="5"/>
        <v>- - DONE - -</v>
      </c>
      <c r="Q15" s="126" t="str">
        <f t="shared" si="5"/>
        <v>- - DONE - -</v>
      </c>
      <c r="R15" s="126" t="str">
        <f t="shared" si="5"/>
        <v>- - DONE - -</v>
      </c>
      <c r="S15" s="126" t="str">
        <f t="shared" si="5"/>
        <v>- - DONE - -</v>
      </c>
      <c r="T15" s="126" t="str">
        <f t="shared" si="5"/>
        <v>- - DONE - -</v>
      </c>
      <c r="U15" s="126" t="str">
        <f t="shared" si="5"/>
        <v>- - DONE - -</v>
      </c>
      <c r="V15" s="125">
        <f t="shared" si="6"/>
        <v>0</v>
      </c>
      <c r="W15" s="124">
        <f t="shared" si="7"/>
        <v>0</v>
      </c>
      <c r="X15" s="353"/>
      <c r="Y15" s="226"/>
      <c r="Z15" s="226"/>
      <c r="AA15" s="226"/>
      <c r="AB15" s="226"/>
      <c r="AC15" s="226"/>
    </row>
    <row r="16" spans="1:29" s="225" customFormat="1">
      <c r="A16" s="154">
        <v>37323.64</v>
      </c>
      <c r="B16" s="103"/>
      <c r="C16" s="103">
        <f t="shared" si="1"/>
        <v>622.10000000000582</v>
      </c>
      <c r="D16" s="154">
        <v>0</v>
      </c>
      <c r="E16" s="128">
        <f t="shared" si="2"/>
        <v>42247</v>
      </c>
      <c r="F16" s="179">
        <v>32</v>
      </c>
      <c r="G16" s="180" t="e">
        <f t="shared" si="3"/>
        <v>#VALUE!</v>
      </c>
      <c r="H16" s="127">
        <f t="shared" si="4"/>
        <v>622.05999999999995</v>
      </c>
      <c r="I16" s="362">
        <v>40422</v>
      </c>
      <c r="J16" s="126" t="str">
        <f t="shared" si="5"/>
        <v>- - DONE - -</v>
      </c>
      <c r="K16" s="126" t="str">
        <f t="shared" si="5"/>
        <v>- - DONE - -</v>
      </c>
      <c r="L16" s="126" t="str">
        <f t="shared" si="5"/>
        <v>- - DONE - -</v>
      </c>
      <c r="M16" s="126" t="str">
        <f t="shared" si="5"/>
        <v>- - DONE - -</v>
      </c>
      <c r="N16" s="126" t="str">
        <f t="shared" si="5"/>
        <v>- - DONE - -</v>
      </c>
      <c r="O16" s="126" t="str">
        <f t="shared" si="5"/>
        <v>- - DONE - -</v>
      </c>
      <c r="P16" s="126" t="str">
        <f t="shared" si="5"/>
        <v>- - DONE - -</v>
      </c>
      <c r="Q16" s="126" t="str">
        <f t="shared" si="5"/>
        <v>- - DONE - -</v>
      </c>
      <c r="R16" s="126" t="str">
        <f t="shared" si="5"/>
        <v>- - DONE - -</v>
      </c>
      <c r="S16" s="126" t="str">
        <f t="shared" si="5"/>
        <v>- - DONE - -</v>
      </c>
      <c r="T16" s="126" t="str">
        <f t="shared" si="5"/>
        <v>- - DONE - -</v>
      </c>
      <c r="U16" s="126" t="str">
        <f t="shared" si="5"/>
        <v>- - DONE - -</v>
      </c>
      <c r="V16" s="125">
        <f t="shared" si="6"/>
        <v>0</v>
      </c>
      <c r="W16" s="124">
        <f t="shared" si="7"/>
        <v>0</v>
      </c>
      <c r="X16" s="353"/>
      <c r="Y16" s="226"/>
      <c r="Z16" s="226"/>
      <c r="AA16" s="226"/>
      <c r="AB16" s="226"/>
      <c r="AC16" s="226"/>
    </row>
    <row r="17" spans="1:29" s="225" customFormat="1">
      <c r="A17" s="154">
        <v>10767.47</v>
      </c>
      <c r="B17" s="103"/>
      <c r="C17" s="103">
        <f t="shared" si="1"/>
        <v>179.32999999999811</v>
      </c>
      <c r="D17" s="154">
        <v>0</v>
      </c>
      <c r="E17" s="128">
        <f t="shared" si="2"/>
        <v>42277</v>
      </c>
      <c r="F17" s="179">
        <v>33</v>
      </c>
      <c r="G17" s="180" t="e">
        <f t="shared" si="3"/>
        <v>#VALUE!</v>
      </c>
      <c r="H17" s="127">
        <f t="shared" si="4"/>
        <v>179.46</v>
      </c>
      <c r="I17" s="362">
        <v>40452</v>
      </c>
      <c r="J17" s="126" t="str">
        <f t="shared" si="5"/>
        <v>- - DONE - -</v>
      </c>
      <c r="K17" s="126" t="str">
        <f t="shared" si="5"/>
        <v>- - DONE - -</v>
      </c>
      <c r="L17" s="126" t="str">
        <f t="shared" si="5"/>
        <v>- - DONE - -</v>
      </c>
      <c r="M17" s="126" t="str">
        <f t="shared" si="5"/>
        <v>- - DONE - -</v>
      </c>
      <c r="N17" s="126" t="str">
        <f t="shared" si="5"/>
        <v>- - DONE - -</v>
      </c>
      <c r="O17" s="126" t="str">
        <f t="shared" si="5"/>
        <v>- - DONE - -</v>
      </c>
      <c r="P17" s="126" t="str">
        <f t="shared" si="5"/>
        <v>- - DONE - -</v>
      </c>
      <c r="Q17" s="126" t="str">
        <f t="shared" si="5"/>
        <v>- - DONE - -</v>
      </c>
      <c r="R17" s="126" t="str">
        <f t="shared" si="5"/>
        <v>- - DONE - -</v>
      </c>
      <c r="S17" s="126" t="str">
        <f t="shared" si="5"/>
        <v>- - DONE - -</v>
      </c>
      <c r="T17" s="126" t="str">
        <f t="shared" si="5"/>
        <v>- - DONE - -</v>
      </c>
      <c r="U17" s="126" t="str">
        <f t="shared" ref="J17:U38" si="8">IF(U$7&lt;$I17,"",IF(U$7=$I17,+$C17,IF(U$7&lt;=$E17,+(ROUND(($A17-$C17)/59,2)),"- - DONE - -")))</f>
        <v>- - DONE - -</v>
      </c>
      <c r="V17" s="125">
        <f t="shared" si="6"/>
        <v>0</v>
      </c>
      <c r="W17" s="124">
        <f t="shared" si="7"/>
        <v>0</v>
      </c>
      <c r="X17" s="353"/>
      <c r="Y17" s="226"/>
      <c r="Z17" s="226"/>
      <c r="AA17" s="226"/>
      <c r="AB17" s="226"/>
      <c r="AC17" s="226"/>
    </row>
    <row r="18" spans="1:29" s="225" customFormat="1">
      <c r="A18" s="154">
        <v>22735.74</v>
      </c>
      <c r="B18" s="103"/>
      <c r="C18" s="103">
        <f t="shared" si="1"/>
        <v>378.87000000000262</v>
      </c>
      <c r="D18" s="154">
        <v>-0.33999999999923602</v>
      </c>
      <c r="E18" s="128">
        <f t="shared" si="2"/>
        <v>42308</v>
      </c>
      <c r="F18" s="179">
        <v>34</v>
      </c>
      <c r="G18" s="180" t="e">
        <f t="shared" si="3"/>
        <v>#VALUE!</v>
      </c>
      <c r="H18" s="127">
        <f t="shared" si="4"/>
        <v>378.93</v>
      </c>
      <c r="I18" s="362">
        <v>40483</v>
      </c>
      <c r="J18" s="126" t="str">
        <f t="shared" si="5"/>
        <v>- - DONE - -</v>
      </c>
      <c r="K18" s="126" t="str">
        <f t="shared" si="5"/>
        <v>- - DONE - -</v>
      </c>
      <c r="L18" s="126" t="str">
        <f t="shared" si="5"/>
        <v>- - DONE - -</v>
      </c>
      <c r="M18" s="126" t="str">
        <f t="shared" si="5"/>
        <v>- - DONE - -</v>
      </c>
      <c r="N18" s="126" t="str">
        <f t="shared" si="5"/>
        <v>- - DONE - -</v>
      </c>
      <c r="O18" s="126" t="str">
        <f t="shared" si="5"/>
        <v>- - DONE - -</v>
      </c>
      <c r="P18" s="126" t="str">
        <f t="shared" si="5"/>
        <v>- - DONE - -</v>
      </c>
      <c r="Q18" s="126" t="str">
        <f t="shared" si="5"/>
        <v>- - DONE - -</v>
      </c>
      <c r="R18" s="126" t="str">
        <f t="shared" si="5"/>
        <v>- - DONE - -</v>
      </c>
      <c r="S18" s="126" t="str">
        <f t="shared" si="5"/>
        <v>- - DONE - -</v>
      </c>
      <c r="T18" s="126" t="str">
        <f t="shared" si="5"/>
        <v>- - DONE - -</v>
      </c>
      <c r="U18" s="126" t="str">
        <f t="shared" si="8"/>
        <v>- - DONE - -</v>
      </c>
      <c r="V18" s="125">
        <f t="shared" si="6"/>
        <v>0</v>
      </c>
      <c r="W18" s="124">
        <f t="shared" si="7"/>
        <v>-0.33999999999923602</v>
      </c>
      <c r="X18" s="353"/>
      <c r="Y18" s="226"/>
      <c r="Z18" s="226"/>
      <c r="AA18" s="226"/>
      <c r="AB18" s="226"/>
      <c r="AC18" s="226"/>
    </row>
    <row r="19" spans="1:29" s="225" customFormat="1">
      <c r="A19" s="155">
        <v>-7061.65</v>
      </c>
      <c r="B19" s="135"/>
      <c r="C19" s="135">
        <f t="shared" si="1"/>
        <v>-117.9399999999996</v>
      </c>
      <c r="D19" s="155">
        <v>0</v>
      </c>
      <c r="E19" s="133">
        <f t="shared" si="2"/>
        <v>42338</v>
      </c>
      <c r="F19" s="184">
        <v>35</v>
      </c>
      <c r="G19" s="181" t="e">
        <f t="shared" si="3"/>
        <v>#VALUE!</v>
      </c>
      <c r="H19" s="134">
        <f t="shared" si="4"/>
        <v>-117.69</v>
      </c>
      <c r="I19" s="363">
        <v>40513</v>
      </c>
      <c r="J19" s="132" t="str">
        <f t="shared" si="5"/>
        <v>- - DONE - -</v>
      </c>
      <c r="K19" s="132" t="str">
        <f t="shared" si="5"/>
        <v>- - DONE - -</v>
      </c>
      <c r="L19" s="132" t="str">
        <f t="shared" si="5"/>
        <v>- - DONE - -</v>
      </c>
      <c r="M19" s="132" t="str">
        <f t="shared" si="5"/>
        <v>- - DONE - -</v>
      </c>
      <c r="N19" s="132" t="str">
        <f t="shared" si="5"/>
        <v>- - DONE - -</v>
      </c>
      <c r="O19" s="132" t="str">
        <f t="shared" si="5"/>
        <v>- - DONE - -</v>
      </c>
      <c r="P19" s="132" t="str">
        <f t="shared" si="5"/>
        <v>- - DONE - -</v>
      </c>
      <c r="Q19" s="132" t="str">
        <f t="shared" si="5"/>
        <v>- - DONE - -</v>
      </c>
      <c r="R19" s="132" t="str">
        <f t="shared" si="5"/>
        <v>- - DONE - -</v>
      </c>
      <c r="S19" s="132" t="str">
        <f t="shared" si="5"/>
        <v>- - DONE - -</v>
      </c>
      <c r="T19" s="132" t="str">
        <f t="shared" si="5"/>
        <v>- - DONE - -</v>
      </c>
      <c r="U19" s="132" t="str">
        <f t="shared" si="8"/>
        <v>- - DONE - -</v>
      </c>
      <c r="V19" s="131">
        <f t="shared" si="6"/>
        <v>0</v>
      </c>
      <c r="W19" s="151">
        <f t="shared" si="7"/>
        <v>0</v>
      </c>
      <c r="X19" s="353"/>
      <c r="Y19" s="226"/>
      <c r="Z19" s="226"/>
      <c r="AA19" s="226"/>
      <c r="AB19" s="226"/>
      <c r="AC19" s="226"/>
    </row>
    <row r="20" spans="1:29" s="225" customFormat="1">
      <c r="A20" s="154">
        <v>20527.919999999998</v>
      </c>
      <c r="B20" s="103"/>
      <c r="C20" s="103">
        <f t="shared" si="1"/>
        <v>342.25</v>
      </c>
      <c r="D20" s="154">
        <v>0</v>
      </c>
      <c r="E20" s="129">
        <f t="shared" si="2"/>
        <v>42369</v>
      </c>
      <c r="F20" s="183">
        <v>36</v>
      </c>
      <c r="G20" s="182" t="e">
        <f t="shared" si="3"/>
        <v>#VALUE!</v>
      </c>
      <c r="H20" s="130">
        <f t="shared" si="4"/>
        <v>342.13</v>
      </c>
      <c r="I20" s="361">
        <v>40544</v>
      </c>
      <c r="J20" s="150" t="str">
        <f t="shared" si="5"/>
        <v>- - DONE - -</v>
      </c>
      <c r="K20" s="150" t="str">
        <f t="shared" si="5"/>
        <v>- - DONE - -</v>
      </c>
      <c r="L20" s="150" t="str">
        <f t="shared" si="5"/>
        <v>- - DONE - -</v>
      </c>
      <c r="M20" s="150" t="str">
        <f t="shared" si="5"/>
        <v>- - DONE - -</v>
      </c>
      <c r="N20" s="150" t="str">
        <f t="shared" si="5"/>
        <v>- - DONE - -</v>
      </c>
      <c r="O20" s="150" t="str">
        <f t="shared" si="5"/>
        <v>- - DONE - -</v>
      </c>
      <c r="P20" s="150" t="str">
        <f t="shared" si="5"/>
        <v>- - DONE - -</v>
      </c>
      <c r="Q20" s="150" t="str">
        <f t="shared" si="5"/>
        <v>- - DONE - -</v>
      </c>
      <c r="R20" s="150" t="str">
        <f t="shared" si="5"/>
        <v>- - DONE - -</v>
      </c>
      <c r="S20" s="150" t="str">
        <f t="shared" si="5"/>
        <v>- - DONE - -</v>
      </c>
      <c r="T20" s="150" t="str">
        <f t="shared" si="5"/>
        <v>- - DONE - -</v>
      </c>
      <c r="U20" s="150" t="str">
        <f t="shared" si="5"/>
        <v>- - DONE - -</v>
      </c>
      <c r="V20" s="125">
        <f t="shared" si="6"/>
        <v>0</v>
      </c>
      <c r="W20" s="153">
        <f t="shared" si="7"/>
        <v>0</v>
      </c>
      <c r="X20" s="353"/>
      <c r="Y20" s="226"/>
      <c r="Z20" s="226"/>
      <c r="AA20" s="226"/>
      <c r="AB20" s="226"/>
      <c r="AC20" s="226"/>
    </row>
    <row r="21" spans="1:29" s="225" customFormat="1">
      <c r="A21" s="154">
        <v>13344.21</v>
      </c>
      <c r="B21" s="103"/>
      <c r="C21" s="103">
        <f t="shared" si="1"/>
        <v>222.60999999999876</v>
      </c>
      <c r="D21" s="154">
        <v>-8.2422957348171622E-13</v>
      </c>
      <c r="E21" s="129">
        <f t="shared" si="2"/>
        <v>42400</v>
      </c>
      <c r="F21" s="179">
        <v>37</v>
      </c>
      <c r="G21" s="182" t="e">
        <f t="shared" si="3"/>
        <v>#VALUE!</v>
      </c>
      <c r="H21" s="130">
        <f t="shared" si="4"/>
        <v>222.4</v>
      </c>
      <c r="I21" s="361">
        <v>40575</v>
      </c>
      <c r="J21" s="150" t="str">
        <f t="shared" si="8"/>
        <v>- - DONE - -</v>
      </c>
      <c r="K21" s="126" t="str">
        <f t="shared" si="5"/>
        <v>- - DONE - -</v>
      </c>
      <c r="L21" s="126" t="str">
        <f t="shared" si="5"/>
        <v>- - DONE - -</v>
      </c>
      <c r="M21" s="126" t="str">
        <f t="shared" si="5"/>
        <v>- - DONE - -</v>
      </c>
      <c r="N21" s="126" t="str">
        <f t="shared" si="5"/>
        <v>- - DONE - -</v>
      </c>
      <c r="O21" s="126" t="str">
        <f t="shared" si="5"/>
        <v>- - DONE - -</v>
      </c>
      <c r="P21" s="126" t="str">
        <f t="shared" si="5"/>
        <v>- - DONE - -</v>
      </c>
      <c r="Q21" s="126" t="str">
        <f t="shared" si="5"/>
        <v>- - DONE - -</v>
      </c>
      <c r="R21" s="126" t="str">
        <f t="shared" si="5"/>
        <v>- - DONE - -</v>
      </c>
      <c r="S21" s="126" t="str">
        <f t="shared" si="5"/>
        <v>- - DONE - -</v>
      </c>
      <c r="T21" s="126" t="str">
        <f t="shared" si="5"/>
        <v>- - DONE - -</v>
      </c>
      <c r="U21" s="126" t="str">
        <f t="shared" si="5"/>
        <v>- - DONE - -</v>
      </c>
      <c r="V21" s="125">
        <f t="shared" si="6"/>
        <v>0</v>
      </c>
      <c r="W21" s="153">
        <f t="shared" si="7"/>
        <v>-8.2422957348171622E-13</v>
      </c>
      <c r="X21" s="353"/>
      <c r="Y21" s="226"/>
      <c r="Z21" s="226"/>
      <c r="AA21" s="226"/>
      <c r="AB21" s="226"/>
      <c r="AC21" s="226"/>
    </row>
    <row r="22" spans="1:29" s="225" customFormat="1">
      <c r="A22" s="154">
        <v>37668.46</v>
      </c>
      <c r="B22" s="103"/>
      <c r="C22" s="103">
        <f t="shared" si="1"/>
        <v>627.67000000000553</v>
      </c>
      <c r="D22" s="154">
        <v>2.7284841053187847E-12</v>
      </c>
      <c r="E22" s="129">
        <f t="shared" si="2"/>
        <v>42428</v>
      </c>
      <c r="F22" s="179">
        <v>38</v>
      </c>
      <c r="G22" s="182" t="e">
        <f t="shared" si="3"/>
        <v>#VALUE!</v>
      </c>
      <c r="H22" s="130">
        <f t="shared" si="4"/>
        <v>627.80999999999995</v>
      </c>
      <c r="I22" s="361">
        <v>40603</v>
      </c>
      <c r="J22" s="150" t="str">
        <f t="shared" si="8"/>
        <v>- - DONE - -</v>
      </c>
      <c r="K22" s="150" t="str">
        <f t="shared" ref="K22:U22" si="9">IF(K$7&lt;$I22,"",IF(K$7=$I22,+$C22,IF(K$7&lt;=$E22,+(ROUND(($A22-$C22)/59,2)),"- - DONE - -")))</f>
        <v>- - DONE - -</v>
      </c>
      <c r="L22" s="150" t="str">
        <f t="shared" si="9"/>
        <v>- - DONE - -</v>
      </c>
      <c r="M22" s="150" t="str">
        <f t="shared" si="9"/>
        <v>- - DONE - -</v>
      </c>
      <c r="N22" s="150" t="str">
        <f t="shared" si="9"/>
        <v>- - DONE - -</v>
      </c>
      <c r="O22" s="150" t="str">
        <f t="shared" si="9"/>
        <v>- - DONE - -</v>
      </c>
      <c r="P22" s="150" t="str">
        <f t="shared" si="9"/>
        <v>- - DONE - -</v>
      </c>
      <c r="Q22" s="150" t="str">
        <f t="shared" si="9"/>
        <v>- - DONE - -</v>
      </c>
      <c r="R22" s="150" t="str">
        <f t="shared" si="9"/>
        <v>- - DONE - -</v>
      </c>
      <c r="S22" s="150" t="str">
        <f t="shared" si="9"/>
        <v>- - DONE - -</v>
      </c>
      <c r="T22" s="150" t="str">
        <f t="shared" si="9"/>
        <v>- - DONE - -</v>
      </c>
      <c r="U22" s="150" t="str">
        <f t="shared" si="9"/>
        <v>- - DONE - -</v>
      </c>
      <c r="V22" s="125">
        <f t="shared" si="6"/>
        <v>0</v>
      </c>
      <c r="W22" s="153">
        <f t="shared" si="7"/>
        <v>2.7284841053187847E-12</v>
      </c>
      <c r="X22" s="353"/>
      <c r="Y22" s="226"/>
      <c r="Z22" s="226"/>
      <c r="AA22" s="226"/>
      <c r="AB22" s="226"/>
      <c r="AC22" s="226"/>
    </row>
    <row r="23" spans="1:29" s="225" customFormat="1">
      <c r="A23" s="154">
        <v>6917.06</v>
      </c>
      <c r="B23" s="103"/>
      <c r="C23" s="103">
        <f t="shared" si="1"/>
        <v>115.53999999999996</v>
      </c>
      <c r="D23" s="154">
        <v>0.38999999999998636</v>
      </c>
      <c r="E23" s="129">
        <f t="shared" si="2"/>
        <v>42459</v>
      </c>
      <c r="F23" s="179">
        <v>39</v>
      </c>
      <c r="G23" s="182" t="e">
        <f t="shared" si="3"/>
        <v>#VALUE!</v>
      </c>
      <c r="H23" s="130">
        <f t="shared" si="4"/>
        <v>115.28</v>
      </c>
      <c r="I23" s="361">
        <v>40634</v>
      </c>
      <c r="J23" s="150" t="str">
        <f t="shared" si="8"/>
        <v>- - DONE - -</v>
      </c>
      <c r="K23" s="150" t="str">
        <f>IF(K$7&lt;$I23,"",IF(K$7=$I23,+$C23,IF(K$7&lt;=$E23,+(ROUND(($A23-$C23)/59,2)),"- - DONE - -")))</f>
        <v>- - DONE - -</v>
      </c>
      <c r="L23" s="150" t="str">
        <f t="shared" si="8"/>
        <v>- - DONE - -</v>
      </c>
      <c r="M23" s="150" t="str">
        <f t="shared" si="8"/>
        <v>- - DONE - -</v>
      </c>
      <c r="N23" s="150" t="str">
        <f t="shared" si="8"/>
        <v>- - DONE - -</v>
      </c>
      <c r="O23" s="150" t="str">
        <f t="shared" si="8"/>
        <v>- - DONE - -</v>
      </c>
      <c r="P23" s="150" t="str">
        <f t="shared" si="8"/>
        <v>- - DONE - -</v>
      </c>
      <c r="Q23" s="150" t="str">
        <f t="shared" si="8"/>
        <v>- - DONE - -</v>
      </c>
      <c r="R23" s="150" t="str">
        <f t="shared" si="8"/>
        <v>- - DONE - -</v>
      </c>
      <c r="S23" s="150" t="str">
        <f t="shared" si="8"/>
        <v>- - DONE - -</v>
      </c>
      <c r="T23" s="150" t="str">
        <f t="shared" si="8"/>
        <v>- - DONE - -</v>
      </c>
      <c r="U23" s="150" t="str">
        <f t="shared" si="8"/>
        <v>- - DONE - -</v>
      </c>
      <c r="V23" s="125">
        <f t="shared" si="6"/>
        <v>0</v>
      </c>
      <c r="W23" s="153">
        <f t="shared" si="7"/>
        <v>0.38999999999998636</v>
      </c>
      <c r="X23" s="353"/>
      <c r="Y23" s="226"/>
      <c r="Z23" s="226"/>
      <c r="AA23" s="226"/>
      <c r="AB23" s="226"/>
      <c r="AC23" s="226"/>
    </row>
    <row r="24" spans="1:29" s="225" customFormat="1">
      <c r="A24" s="154">
        <v>25187.86</v>
      </c>
      <c r="B24" s="103"/>
      <c r="C24" s="103">
        <f t="shared" si="1"/>
        <v>419.65999999999985</v>
      </c>
      <c r="D24" s="154">
        <v>0</v>
      </c>
      <c r="E24" s="129">
        <f t="shared" si="2"/>
        <v>42489</v>
      </c>
      <c r="F24" s="179">
        <v>40</v>
      </c>
      <c r="G24" s="182" t="e">
        <f t="shared" si="3"/>
        <v>#VALUE!</v>
      </c>
      <c r="H24" s="130">
        <f t="shared" si="4"/>
        <v>419.8</v>
      </c>
      <c r="I24" s="361">
        <v>40664</v>
      </c>
      <c r="J24" s="150" t="str">
        <f t="shared" si="8"/>
        <v>- - DONE - -</v>
      </c>
      <c r="K24" s="150" t="str">
        <f t="shared" si="8"/>
        <v>- - DONE - -</v>
      </c>
      <c r="L24" s="150" t="str">
        <f>IF(L$7&lt;$I24,"",IF(L$7=$I24,+$C24,IF(L$7&lt;=$E24,+(ROUND(($A24-$C24)/59,2)),"- - DONE - -")))</f>
        <v>- - DONE - -</v>
      </c>
      <c r="M24" s="150" t="str">
        <f t="shared" si="8"/>
        <v>- - DONE - -</v>
      </c>
      <c r="N24" s="150" t="str">
        <f t="shared" si="8"/>
        <v>- - DONE - -</v>
      </c>
      <c r="O24" s="150" t="str">
        <f t="shared" si="8"/>
        <v>- - DONE - -</v>
      </c>
      <c r="P24" s="150" t="str">
        <f t="shared" si="8"/>
        <v>- - DONE - -</v>
      </c>
      <c r="Q24" s="150" t="str">
        <f t="shared" si="8"/>
        <v>- - DONE - -</v>
      </c>
      <c r="R24" s="150" t="str">
        <f t="shared" si="8"/>
        <v>- - DONE - -</v>
      </c>
      <c r="S24" s="150" t="str">
        <f t="shared" si="8"/>
        <v>- - DONE - -</v>
      </c>
      <c r="T24" s="150" t="str">
        <f t="shared" si="8"/>
        <v>- - DONE - -</v>
      </c>
      <c r="U24" s="150" t="str">
        <f t="shared" si="8"/>
        <v>- - DONE - -</v>
      </c>
      <c r="V24" s="125">
        <f t="shared" si="6"/>
        <v>0</v>
      </c>
      <c r="W24" s="153">
        <f t="shared" si="7"/>
        <v>0</v>
      </c>
      <c r="X24" s="353"/>
      <c r="Y24" s="226"/>
      <c r="Z24" s="226"/>
      <c r="AA24" s="226"/>
      <c r="AB24" s="226"/>
      <c r="AC24" s="226"/>
    </row>
    <row r="25" spans="1:29" s="225" customFormat="1">
      <c r="A25" s="154">
        <v>7865.05</v>
      </c>
      <c r="B25" s="103"/>
      <c r="C25" s="103">
        <f t="shared" si="1"/>
        <v>131.32999999999902</v>
      </c>
      <c r="D25" s="154">
        <v>0</v>
      </c>
      <c r="E25" s="129">
        <f t="shared" si="2"/>
        <v>42520</v>
      </c>
      <c r="F25" s="179">
        <v>41</v>
      </c>
      <c r="G25" s="182" t="e">
        <f t="shared" si="3"/>
        <v>#VALUE!</v>
      </c>
      <c r="H25" s="130">
        <f t="shared" si="4"/>
        <v>131.08000000000001</v>
      </c>
      <c r="I25" s="361">
        <v>40695</v>
      </c>
      <c r="J25" s="150" t="str">
        <f t="shared" si="8"/>
        <v>- - DONE - -</v>
      </c>
      <c r="K25" s="150" t="str">
        <f t="shared" si="8"/>
        <v>- - DONE - -</v>
      </c>
      <c r="L25" s="150" t="str">
        <f t="shared" si="8"/>
        <v>- - DONE - -</v>
      </c>
      <c r="M25" s="150" t="str">
        <f t="shared" si="8"/>
        <v>- - DONE - -</v>
      </c>
      <c r="N25" s="150" t="str">
        <f t="shared" si="8"/>
        <v>- - DONE - -</v>
      </c>
      <c r="O25" s="150" t="str">
        <f t="shared" si="8"/>
        <v>- - DONE - -</v>
      </c>
      <c r="P25" s="150" t="str">
        <f t="shared" si="8"/>
        <v>- - DONE - -</v>
      </c>
      <c r="Q25" s="150" t="str">
        <f t="shared" si="8"/>
        <v>- - DONE - -</v>
      </c>
      <c r="R25" s="150" t="str">
        <f t="shared" si="8"/>
        <v>- - DONE - -</v>
      </c>
      <c r="S25" s="150" t="str">
        <f t="shared" si="8"/>
        <v>- - DONE - -</v>
      </c>
      <c r="T25" s="150" t="str">
        <f t="shared" si="8"/>
        <v>- - DONE - -</v>
      </c>
      <c r="U25" s="150" t="str">
        <f t="shared" si="8"/>
        <v>- - DONE - -</v>
      </c>
      <c r="V25" s="125">
        <f t="shared" si="6"/>
        <v>0</v>
      </c>
      <c r="W25" s="153">
        <f t="shared" si="7"/>
        <v>0</v>
      </c>
      <c r="X25" s="353"/>
      <c r="Y25" s="226"/>
      <c r="Z25" s="226"/>
      <c r="AA25" s="226"/>
      <c r="AB25" s="226"/>
      <c r="AC25" s="226"/>
    </row>
    <row r="26" spans="1:29" s="225" customFormat="1">
      <c r="A26" s="154">
        <v>13135.52</v>
      </c>
      <c r="B26" s="103"/>
      <c r="C26" s="103">
        <f t="shared" si="1"/>
        <v>218.64999999999964</v>
      </c>
      <c r="D26" s="154">
        <v>0</v>
      </c>
      <c r="E26" s="129">
        <f t="shared" si="2"/>
        <v>42550</v>
      </c>
      <c r="F26" s="179">
        <v>42</v>
      </c>
      <c r="G26" s="182" t="e">
        <f t="shared" si="3"/>
        <v>#VALUE!</v>
      </c>
      <c r="H26" s="130">
        <f t="shared" si="4"/>
        <v>218.93</v>
      </c>
      <c r="I26" s="361">
        <v>40725</v>
      </c>
      <c r="J26" s="150" t="str">
        <f t="shared" si="8"/>
        <v>- - DONE - -</v>
      </c>
      <c r="K26" s="150" t="str">
        <f t="shared" si="8"/>
        <v>- - DONE - -</v>
      </c>
      <c r="L26" s="150" t="str">
        <f t="shared" si="8"/>
        <v>- - DONE - -</v>
      </c>
      <c r="M26" s="150" t="str">
        <f t="shared" si="8"/>
        <v>- - DONE - -</v>
      </c>
      <c r="N26" s="150" t="str">
        <f t="shared" si="8"/>
        <v>- - DONE - -</v>
      </c>
      <c r="O26" s="150" t="str">
        <f t="shared" si="8"/>
        <v>- - DONE - -</v>
      </c>
      <c r="P26" s="150" t="str">
        <f t="shared" si="8"/>
        <v>- - DONE - -</v>
      </c>
      <c r="Q26" s="150" t="str">
        <f t="shared" si="8"/>
        <v>- - DONE - -</v>
      </c>
      <c r="R26" s="150" t="str">
        <f t="shared" si="8"/>
        <v>- - DONE - -</v>
      </c>
      <c r="S26" s="150" t="str">
        <f t="shared" si="8"/>
        <v>- - DONE - -</v>
      </c>
      <c r="T26" s="150" t="str">
        <f t="shared" si="8"/>
        <v>- - DONE - -</v>
      </c>
      <c r="U26" s="150" t="str">
        <f t="shared" si="8"/>
        <v>- - DONE - -</v>
      </c>
      <c r="V26" s="125">
        <f t="shared" si="6"/>
        <v>0</v>
      </c>
      <c r="W26" s="153">
        <f t="shared" si="7"/>
        <v>0</v>
      </c>
      <c r="X26" s="353"/>
      <c r="Y26" s="226"/>
      <c r="Z26" s="226"/>
      <c r="AA26" s="226"/>
      <c r="AB26" s="226"/>
      <c r="AC26" s="226"/>
    </row>
    <row r="27" spans="1:29" s="225" customFormat="1">
      <c r="A27" s="154">
        <v>11582.3</v>
      </c>
      <c r="B27" s="103"/>
      <c r="C27" s="103">
        <f t="shared" si="1"/>
        <v>192.94000000000051</v>
      </c>
      <c r="D27" s="154">
        <v>0</v>
      </c>
      <c r="E27" s="129">
        <f t="shared" si="2"/>
        <v>42581</v>
      </c>
      <c r="F27" s="179">
        <v>43</v>
      </c>
      <c r="G27" s="182" t="e">
        <f t="shared" si="3"/>
        <v>#VALUE!</v>
      </c>
      <c r="H27" s="130">
        <f t="shared" si="4"/>
        <v>193.04</v>
      </c>
      <c r="I27" s="361">
        <v>40756</v>
      </c>
      <c r="J27" s="150" t="str">
        <f t="shared" si="8"/>
        <v>- - DONE - -</v>
      </c>
      <c r="K27" s="150" t="str">
        <f t="shared" si="8"/>
        <v>- - DONE - -</v>
      </c>
      <c r="L27" s="150" t="str">
        <f t="shared" si="8"/>
        <v>- - DONE - -</v>
      </c>
      <c r="M27" s="150" t="str">
        <f t="shared" si="8"/>
        <v>- - DONE - -</v>
      </c>
      <c r="N27" s="150" t="str">
        <f t="shared" si="8"/>
        <v>- - DONE - -</v>
      </c>
      <c r="O27" s="150" t="str">
        <f t="shared" si="8"/>
        <v>- - DONE - -</v>
      </c>
      <c r="P27" s="150" t="str">
        <f t="shared" si="8"/>
        <v>- - DONE - -</v>
      </c>
      <c r="Q27" s="150" t="str">
        <f t="shared" si="8"/>
        <v>- - DONE - -</v>
      </c>
      <c r="R27" s="150" t="str">
        <f t="shared" si="8"/>
        <v>- - DONE - -</v>
      </c>
      <c r="S27" s="150" t="str">
        <f t="shared" si="8"/>
        <v>- - DONE - -</v>
      </c>
      <c r="T27" s="150" t="str">
        <f t="shared" si="8"/>
        <v>- - DONE - -</v>
      </c>
      <c r="U27" s="150" t="str">
        <f t="shared" si="8"/>
        <v>- - DONE - -</v>
      </c>
      <c r="V27" s="125">
        <f t="shared" si="6"/>
        <v>0</v>
      </c>
      <c r="W27" s="153">
        <f t="shared" si="7"/>
        <v>0</v>
      </c>
      <c r="X27" s="353"/>
      <c r="Y27" s="226"/>
      <c r="Z27" s="226"/>
      <c r="AA27" s="226"/>
      <c r="AB27" s="226"/>
      <c r="AC27" s="226"/>
    </row>
    <row r="28" spans="1:29" s="225" customFormat="1">
      <c r="A28" s="154">
        <v>-1809.19</v>
      </c>
      <c r="B28" s="103"/>
      <c r="C28" s="103">
        <f t="shared" si="1"/>
        <v>-30.340000000000146</v>
      </c>
      <c r="D28" s="154">
        <v>0</v>
      </c>
      <c r="E28" s="129">
        <f t="shared" si="2"/>
        <v>42612</v>
      </c>
      <c r="F28" s="179">
        <v>44</v>
      </c>
      <c r="G28" s="182" t="e">
        <f t="shared" si="3"/>
        <v>#VALUE!</v>
      </c>
      <c r="H28" s="130">
        <f t="shared" si="4"/>
        <v>-30.15</v>
      </c>
      <c r="I28" s="361">
        <v>40787</v>
      </c>
      <c r="J28" s="150" t="str">
        <f t="shared" si="8"/>
        <v>- - DONE - -</v>
      </c>
      <c r="K28" s="150" t="str">
        <f t="shared" si="8"/>
        <v>- - DONE - -</v>
      </c>
      <c r="L28" s="150" t="str">
        <f t="shared" si="8"/>
        <v>- - DONE - -</v>
      </c>
      <c r="M28" s="150" t="str">
        <f t="shared" si="8"/>
        <v>- - DONE - -</v>
      </c>
      <c r="N28" s="150" t="str">
        <f t="shared" si="8"/>
        <v>- - DONE - -</v>
      </c>
      <c r="O28" s="150" t="str">
        <f t="shared" si="8"/>
        <v>- - DONE - -</v>
      </c>
      <c r="P28" s="150" t="str">
        <f t="shared" si="8"/>
        <v>- - DONE - -</v>
      </c>
      <c r="Q28" s="150" t="str">
        <f t="shared" si="8"/>
        <v>- - DONE - -</v>
      </c>
      <c r="R28" s="150" t="str">
        <f t="shared" si="8"/>
        <v>- - DONE - -</v>
      </c>
      <c r="S28" s="150" t="str">
        <f t="shared" si="8"/>
        <v>- - DONE - -</v>
      </c>
      <c r="T28" s="150" t="str">
        <f t="shared" si="8"/>
        <v>- - DONE - -</v>
      </c>
      <c r="U28" s="150" t="str">
        <f t="shared" si="8"/>
        <v>- - DONE - -</v>
      </c>
      <c r="V28" s="125">
        <f t="shared" si="6"/>
        <v>0</v>
      </c>
      <c r="W28" s="153">
        <f t="shared" si="7"/>
        <v>0</v>
      </c>
      <c r="X28" s="353"/>
      <c r="Y28" s="226"/>
      <c r="Z28" s="226"/>
      <c r="AA28" s="226"/>
      <c r="AB28" s="226"/>
      <c r="AC28" s="226"/>
    </row>
    <row r="29" spans="1:29" s="225" customFormat="1">
      <c r="A29" s="154">
        <v>8250.94</v>
      </c>
      <c r="B29" s="103"/>
      <c r="C29" s="103">
        <f t="shared" si="1"/>
        <v>137.26000000000022</v>
      </c>
      <c r="D29" s="154">
        <v>0</v>
      </c>
      <c r="E29" s="129">
        <f t="shared" si="2"/>
        <v>42642</v>
      </c>
      <c r="F29" s="179">
        <v>45</v>
      </c>
      <c r="G29" s="182" t="e">
        <f t="shared" si="3"/>
        <v>#VALUE!</v>
      </c>
      <c r="H29" s="130">
        <f t="shared" si="4"/>
        <v>137.52000000000001</v>
      </c>
      <c r="I29" s="361">
        <v>40817</v>
      </c>
      <c r="J29" s="150" t="str">
        <f t="shared" si="8"/>
        <v>- - DONE - -</v>
      </c>
      <c r="K29" s="150" t="str">
        <f t="shared" si="8"/>
        <v>- - DONE - -</v>
      </c>
      <c r="L29" s="150" t="str">
        <f t="shared" si="8"/>
        <v>- - DONE - -</v>
      </c>
      <c r="M29" s="150" t="str">
        <f t="shared" si="8"/>
        <v>- - DONE - -</v>
      </c>
      <c r="N29" s="150" t="str">
        <f t="shared" si="8"/>
        <v>- - DONE - -</v>
      </c>
      <c r="O29" s="150" t="str">
        <f t="shared" si="8"/>
        <v>- - DONE - -</v>
      </c>
      <c r="P29" s="150" t="str">
        <f t="shared" si="8"/>
        <v>- - DONE - -</v>
      </c>
      <c r="Q29" s="150" t="str">
        <f t="shared" si="8"/>
        <v>- - DONE - -</v>
      </c>
      <c r="R29" s="150" t="str">
        <f t="shared" si="8"/>
        <v>- - DONE - -</v>
      </c>
      <c r="S29" s="150" t="str">
        <f t="shared" si="8"/>
        <v>- - DONE - -</v>
      </c>
      <c r="T29" s="150" t="str">
        <f t="shared" si="8"/>
        <v>- - DONE - -</v>
      </c>
      <c r="U29" s="150" t="str">
        <f t="shared" si="8"/>
        <v>- - DONE - -</v>
      </c>
      <c r="V29" s="125">
        <f t="shared" si="6"/>
        <v>0</v>
      </c>
      <c r="W29" s="153">
        <f t="shared" si="7"/>
        <v>0</v>
      </c>
      <c r="X29" s="353"/>
      <c r="Y29" s="226"/>
      <c r="Z29" s="226"/>
      <c r="AA29" s="226"/>
      <c r="AB29" s="226"/>
      <c r="AC29" s="226"/>
    </row>
    <row r="30" spans="1:29" s="225" customFormat="1">
      <c r="A30" s="154">
        <v>10440.32</v>
      </c>
      <c r="B30" s="103"/>
      <c r="C30" s="103">
        <f t="shared" si="1"/>
        <v>173.72999999999956</v>
      </c>
      <c r="D30" s="154">
        <v>0</v>
      </c>
      <c r="E30" s="129">
        <f t="shared" si="2"/>
        <v>42673</v>
      </c>
      <c r="F30" s="179">
        <v>46</v>
      </c>
      <c r="G30" s="182" t="e">
        <f t="shared" si="3"/>
        <v>#VALUE!</v>
      </c>
      <c r="H30" s="130">
        <f t="shared" si="4"/>
        <v>174.01</v>
      </c>
      <c r="I30" s="361">
        <v>40848</v>
      </c>
      <c r="J30" s="150" t="str">
        <f t="shared" si="8"/>
        <v>- - DONE - -</v>
      </c>
      <c r="K30" s="150" t="str">
        <f t="shared" si="8"/>
        <v>- - DONE - -</v>
      </c>
      <c r="L30" s="150" t="str">
        <f t="shared" si="8"/>
        <v>- - DONE - -</v>
      </c>
      <c r="M30" s="150" t="str">
        <f t="shared" si="8"/>
        <v>- - DONE - -</v>
      </c>
      <c r="N30" s="150" t="str">
        <f t="shared" si="8"/>
        <v>- - DONE - -</v>
      </c>
      <c r="O30" s="150" t="str">
        <f t="shared" si="8"/>
        <v>- - DONE - -</v>
      </c>
      <c r="P30" s="150" t="str">
        <f t="shared" si="8"/>
        <v>- - DONE - -</v>
      </c>
      <c r="Q30" s="150" t="str">
        <f t="shared" si="8"/>
        <v>- - DONE - -</v>
      </c>
      <c r="R30" s="150" t="str">
        <f t="shared" si="8"/>
        <v>- - DONE - -</v>
      </c>
      <c r="S30" s="150" t="str">
        <f t="shared" si="8"/>
        <v>- - DONE - -</v>
      </c>
      <c r="T30" s="150" t="str">
        <f t="shared" si="8"/>
        <v>- - DONE - -</v>
      </c>
      <c r="U30" s="150" t="str">
        <f t="shared" si="8"/>
        <v>- - DONE - -</v>
      </c>
      <c r="V30" s="125">
        <f t="shared" si="6"/>
        <v>0</v>
      </c>
      <c r="W30" s="153">
        <f t="shared" si="7"/>
        <v>0</v>
      </c>
      <c r="X30" s="353"/>
      <c r="Y30" s="226"/>
      <c r="Z30" s="226"/>
      <c r="AA30" s="226"/>
      <c r="AB30" s="226"/>
      <c r="AC30" s="226"/>
    </row>
    <row r="31" spans="1:29" s="225" customFormat="1">
      <c r="A31" s="155">
        <v>16036.01</v>
      </c>
      <c r="B31" s="135"/>
      <c r="C31" s="135">
        <f t="shared" si="1"/>
        <v>267.08000000000175</v>
      </c>
      <c r="D31" s="155">
        <v>0</v>
      </c>
      <c r="E31" s="133">
        <f t="shared" si="2"/>
        <v>42703</v>
      </c>
      <c r="F31" s="184">
        <v>47</v>
      </c>
      <c r="G31" s="181" t="e">
        <f t="shared" si="3"/>
        <v>#VALUE!</v>
      </c>
      <c r="H31" s="134">
        <f t="shared" si="4"/>
        <v>267.27</v>
      </c>
      <c r="I31" s="363">
        <v>40878</v>
      </c>
      <c r="J31" s="132" t="str">
        <f t="shared" si="8"/>
        <v>- - DONE - -</v>
      </c>
      <c r="K31" s="132" t="str">
        <f t="shared" si="8"/>
        <v>- - DONE - -</v>
      </c>
      <c r="L31" s="132" t="str">
        <f t="shared" si="8"/>
        <v>- - DONE - -</v>
      </c>
      <c r="M31" s="132" t="str">
        <f t="shared" si="8"/>
        <v>- - DONE - -</v>
      </c>
      <c r="N31" s="132" t="str">
        <f t="shared" si="8"/>
        <v>- - DONE - -</v>
      </c>
      <c r="O31" s="132" t="str">
        <f t="shared" si="8"/>
        <v>- - DONE - -</v>
      </c>
      <c r="P31" s="132" t="str">
        <f t="shared" si="8"/>
        <v>- - DONE - -</v>
      </c>
      <c r="Q31" s="132" t="str">
        <f t="shared" si="8"/>
        <v>- - DONE - -</v>
      </c>
      <c r="R31" s="132" t="str">
        <f t="shared" si="8"/>
        <v>- - DONE - -</v>
      </c>
      <c r="S31" s="132" t="str">
        <f t="shared" si="8"/>
        <v>- - DONE - -</v>
      </c>
      <c r="T31" s="132" t="str">
        <f t="shared" si="8"/>
        <v>- - DONE - -</v>
      </c>
      <c r="U31" s="132" t="str">
        <f t="shared" si="8"/>
        <v>- - DONE - -</v>
      </c>
      <c r="V31" s="131">
        <f t="shared" si="6"/>
        <v>0</v>
      </c>
      <c r="W31" s="151">
        <f t="shared" si="7"/>
        <v>0</v>
      </c>
      <c r="X31" s="353"/>
      <c r="Y31" s="226"/>
      <c r="Z31" s="226"/>
      <c r="AA31" s="226"/>
      <c r="AB31" s="226"/>
      <c r="AC31" s="226"/>
    </row>
    <row r="32" spans="1:29" s="225" customFormat="1">
      <c r="A32" s="154">
        <v>4194.18</v>
      </c>
      <c r="B32" s="103"/>
      <c r="C32" s="103">
        <f t="shared" si="1"/>
        <v>70.079999999999927</v>
      </c>
      <c r="D32" s="154">
        <v>0</v>
      </c>
      <c r="E32" s="129">
        <f t="shared" si="2"/>
        <v>42734</v>
      </c>
      <c r="F32" s="183">
        <v>48</v>
      </c>
      <c r="G32" s="182" t="e">
        <f t="shared" si="3"/>
        <v>#VALUE!</v>
      </c>
      <c r="H32" s="130">
        <f t="shared" si="4"/>
        <v>69.900000000000006</v>
      </c>
      <c r="I32" s="361">
        <v>40909</v>
      </c>
      <c r="J32" s="150" t="str">
        <f t="shared" si="8"/>
        <v>- - DONE - -</v>
      </c>
      <c r="K32" s="150" t="str">
        <f t="shared" si="8"/>
        <v>- - DONE - -</v>
      </c>
      <c r="L32" s="150" t="str">
        <f t="shared" si="8"/>
        <v>- - DONE - -</v>
      </c>
      <c r="M32" s="150" t="str">
        <f t="shared" si="8"/>
        <v>- - DONE - -</v>
      </c>
      <c r="N32" s="150" t="str">
        <f t="shared" si="8"/>
        <v>- - DONE - -</v>
      </c>
      <c r="O32" s="150" t="str">
        <f t="shared" si="8"/>
        <v>- - DONE - -</v>
      </c>
      <c r="P32" s="150" t="str">
        <f t="shared" si="8"/>
        <v>- - DONE - -</v>
      </c>
      <c r="Q32" s="150" t="str">
        <f t="shared" si="8"/>
        <v>- - DONE - -</v>
      </c>
      <c r="R32" s="150" t="str">
        <f t="shared" si="8"/>
        <v>- - DONE - -</v>
      </c>
      <c r="S32" s="150" t="str">
        <f t="shared" si="8"/>
        <v>- - DONE - -</v>
      </c>
      <c r="T32" s="150" t="str">
        <f t="shared" si="8"/>
        <v>- - DONE - -</v>
      </c>
      <c r="U32" s="150" t="str">
        <f t="shared" si="8"/>
        <v>- - DONE - -</v>
      </c>
      <c r="V32" s="125">
        <f t="shared" si="6"/>
        <v>0</v>
      </c>
      <c r="W32" s="153">
        <f t="shared" si="7"/>
        <v>0</v>
      </c>
      <c r="X32" s="353"/>
      <c r="Y32" s="226"/>
      <c r="Z32" s="226"/>
      <c r="AA32" s="226"/>
      <c r="AB32" s="226"/>
      <c r="AC32" s="226"/>
    </row>
    <row r="33" spans="1:29" s="225" customFormat="1">
      <c r="A33" s="154">
        <v>28481.27</v>
      </c>
      <c r="B33" s="103"/>
      <c r="C33" s="103">
        <f t="shared" si="1"/>
        <v>474.56000000000131</v>
      </c>
      <c r="D33" s="154">
        <v>-0.48999999999745114</v>
      </c>
      <c r="E33" s="129">
        <f t="shared" si="2"/>
        <v>42765</v>
      </c>
      <c r="F33" s="179">
        <v>49</v>
      </c>
      <c r="G33" s="182" t="e">
        <f t="shared" si="3"/>
        <v>#VALUE!</v>
      </c>
      <c r="H33" s="130">
        <f t="shared" si="4"/>
        <v>474.69</v>
      </c>
      <c r="I33" s="361">
        <v>40940</v>
      </c>
      <c r="J33" s="126" t="str">
        <f t="shared" si="8"/>
        <v>- - DONE - -</v>
      </c>
      <c r="K33" s="126" t="str">
        <f t="shared" si="8"/>
        <v>- - DONE - -</v>
      </c>
      <c r="L33" s="126" t="str">
        <f t="shared" si="8"/>
        <v>- - DONE - -</v>
      </c>
      <c r="M33" s="126" t="str">
        <f t="shared" si="8"/>
        <v>- - DONE - -</v>
      </c>
      <c r="N33" s="126" t="str">
        <f t="shared" si="8"/>
        <v>- - DONE - -</v>
      </c>
      <c r="O33" s="126" t="str">
        <f t="shared" si="8"/>
        <v>- - DONE - -</v>
      </c>
      <c r="P33" s="126" t="str">
        <f t="shared" si="8"/>
        <v>- - DONE - -</v>
      </c>
      <c r="Q33" s="126" t="str">
        <f t="shared" si="8"/>
        <v>- - DONE - -</v>
      </c>
      <c r="R33" s="126" t="str">
        <f t="shared" si="8"/>
        <v>- - DONE - -</v>
      </c>
      <c r="S33" s="126" t="str">
        <f t="shared" si="8"/>
        <v>- - DONE - -</v>
      </c>
      <c r="T33" s="126" t="str">
        <f t="shared" si="8"/>
        <v>- - DONE - -</v>
      </c>
      <c r="U33" s="150" t="str">
        <f t="shared" si="8"/>
        <v>- - DONE - -</v>
      </c>
      <c r="V33" s="125">
        <f t="shared" si="6"/>
        <v>0</v>
      </c>
      <c r="W33" s="124">
        <f t="shared" si="7"/>
        <v>-0.48999999999745114</v>
      </c>
      <c r="X33" s="353"/>
      <c r="Y33" s="226"/>
      <c r="Z33" s="226"/>
      <c r="AA33" s="226"/>
      <c r="AB33" s="226"/>
      <c r="AC33" s="226"/>
    </row>
    <row r="34" spans="1:29" s="225" customFormat="1">
      <c r="A34" s="154">
        <v>24956.29</v>
      </c>
      <c r="B34" s="103"/>
      <c r="C34" s="103">
        <f t="shared" si="1"/>
        <v>415.83000000000175</v>
      </c>
      <c r="D34" s="154">
        <v>2.8421709430404007E-12</v>
      </c>
      <c r="E34" s="129">
        <f t="shared" si="2"/>
        <v>42794</v>
      </c>
      <c r="F34" s="179">
        <v>50</v>
      </c>
      <c r="G34" s="182" t="e">
        <f t="shared" si="3"/>
        <v>#VALUE!</v>
      </c>
      <c r="H34" s="130">
        <f t="shared" si="4"/>
        <v>415.94</v>
      </c>
      <c r="I34" s="361">
        <v>40969</v>
      </c>
      <c r="J34" s="126" t="str">
        <f t="shared" si="8"/>
        <v>- - DONE - -</v>
      </c>
      <c r="K34" s="126" t="str">
        <f t="shared" si="8"/>
        <v>- - DONE - -</v>
      </c>
      <c r="L34" s="126" t="str">
        <f t="shared" si="8"/>
        <v>- - DONE - -</v>
      </c>
      <c r="M34" s="126" t="str">
        <f t="shared" si="8"/>
        <v>- - DONE - -</v>
      </c>
      <c r="N34" s="126" t="str">
        <f t="shared" si="8"/>
        <v>- - DONE - -</v>
      </c>
      <c r="O34" s="126" t="str">
        <f t="shared" si="8"/>
        <v>- - DONE - -</v>
      </c>
      <c r="P34" s="126" t="str">
        <f t="shared" si="8"/>
        <v>- - DONE - -</v>
      </c>
      <c r="Q34" s="126" t="str">
        <f t="shared" si="8"/>
        <v>- - DONE - -</v>
      </c>
      <c r="R34" s="126" t="str">
        <f t="shared" si="8"/>
        <v>- - DONE - -</v>
      </c>
      <c r="S34" s="126" t="str">
        <f t="shared" si="8"/>
        <v>- - DONE - -</v>
      </c>
      <c r="T34" s="126" t="str">
        <f t="shared" si="8"/>
        <v>- - DONE - -</v>
      </c>
      <c r="U34" s="150" t="str">
        <f t="shared" si="8"/>
        <v>- - DONE - -</v>
      </c>
      <c r="V34" s="125">
        <f t="shared" si="6"/>
        <v>0</v>
      </c>
      <c r="W34" s="124">
        <f t="shared" si="7"/>
        <v>2.8421709430404007E-12</v>
      </c>
      <c r="X34" s="353"/>
      <c r="Y34" s="226"/>
      <c r="Z34" s="226"/>
      <c r="AA34" s="226"/>
      <c r="AB34" s="226"/>
      <c r="AC34" s="226"/>
    </row>
    <row r="35" spans="1:29" s="225" customFormat="1">
      <c r="A35" s="154">
        <v>10874.17</v>
      </c>
      <c r="B35" s="103"/>
      <c r="C35" s="103">
        <f t="shared" si="1"/>
        <v>181.01000000000022</v>
      </c>
      <c r="D35" s="154">
        <v>0</v>
      </c>
      <c r="E35" s="129">
        <f t="shared" si="2"/>
        <v>42825</v>
      </c>
      <c r="F35" s="179">
        <v>51</v>
      </c>
      <c r="G35" s="182" t="e">
        <f t="shared" si="3"/>
        <v>#VALUE!</v>
      </c>
      <c r="H35" s="130">
        <f t="shared" si="4"/>
        <v>181.24</v>
      </c>
      <c r="I35" s="361">
        <v>41000</v>
      </c>
      <c r="J35" s="126" t="str">
        <f t="shared" si="8"/>
        <v>- - DONE - -</v>
      </c>
      <c r="K35" s="126" t="str">
        <f t="shared" si="8"/>
        <v>- - DONE - -</v>
      </c>
      <c r="L35" s="126" t="str">
        <f t="shared" si="8"/>
        <v>- - DONE - -</v>
      </c>
      <c r="M35" s="126" t="str">
        <f t="shared" si="8"/>
        <v>- - DONE - -</v>
      </c>
      <c r="N35" s="126" t="str">
        <f t="shared" si="8"/>
        <v>- - DONE - -</v>
      </c>
      <c r="O35" s="126" t="str">
        <f t="shared" si="8"/>
        <v>- - DONE - -</v>
      </c>
      <c r="P35" s="126" t="str">
        <f t="shared" si="8"/>
        <v>- - DONE - -</v>
      </c>
      <c r="Q35" s="126" t="str">
        <f t="shared" si="8"/>
        <v>- - DONE - -</v>
      </c>
      <c r="R35" s="126" t="str">
        <f t="shared" si="8"/>
        <v>- - DONE - -</v>
      </c>
      <c r="S35" s="126" t="str">
        <f t="shared" si="8"/>
        <v>- - DONE - -</v>
      </c>
      <c r="T35" s="126" t="str">
        <f t="shared" si="8"/>
        <v>- - DONE - -</v>
      </c>
      <c r="U35" s="150" t="str">
        <f t="shared" si="8"/>
        <v>- - DONE - -</v>
      </c>
      <c r="V35" s="125">
        <f t="shared" si="6"/>
        <v>0</v>
      </c>
      <c r="W35" s="124">
        <f t="shared" si="7"/>
        <v>0</v>
      </c>
      <c r="X35" s="353"/>
      <c r="Y35" s="226"/>
      <c r="Z35" s="226"/>
      <c r="AA35" s="226"/>
      <c r="AB35" s="226"/>
      <c r="AC35" s="226"/>
    </row>
    <row r="36" spans="1:29" s="225" customFormat="1">
      <c r="A36" s="154">
        <v>20064.599999999999</v>
      </c>
      <c r="B36" s="103"/>
      <c r="C36" s="103">
        <f t="shared" si="1"/>
        <v>334.40999999999622</v>
      </c>
      <c r="D36" s="154">
        <v>0</v>
      </c>
      <c r="E36" s="129">
        <f t="shared" si="2"/>
        <v>42855</v>
      </c>
      <c r="F36" s="179">
        <v>52</v>
      </c>
      <c r="G36" s="182" t="e">
        <f t="shared" si="3"/>
        <v>#VALUE!</v>
      </c>
      <c r="H36" s="130">
        <f t="shared" si="4"/>
        <v>334.41</v>
      </c>
      <c r="I36" s="361">
        <v>41030</v>
      </c>
      <c r="J36" s="126" t="str">
        <f t="shared" si="8"/>
        <v>- - DONE - -</v>
      </c>
      <c r="K36" s="126" t="str">
        <f t="shared" si="8"/>
        <v>- - DONE - -</v>
      </c>
      <c r="L36" s="126" t="str">
        <f t="shared" si="8"/>
        <v>- - DONE - -</v>
      </c>
      <c r="M36" s="126" t="str">
        <f t="shared" si="8"/>
        <v>- - DONE - -</v>
      </c>
      <c r="N36" s="126" t="str">
        <f t="shared" si="8"/>
        <v>- - DONE - -</v>
      </c>
      <c r="O36" s="126" t="str">
        <f t="shared" si="8"/>
        <v>- - DONE - -</v>
      </c>
      <c r="P36" s="126" t="str">
        <f t="shared" si="8"/>
        <v>- - DONE - -</v>
      </c>
      <c r="Q36" s="126" t="str">
        <f t="shared" si="8"/>
        <v>- - DONE - -</v>
      </c>
      <c r="R36" s="126" t="str">
        <f t="shared" si="8"/>
        <v>- - DONE - -</v>
      </c>
      <c r="S36" s="126" t="str">
        <f t="shared" si="8"/>
        <v>- - DONE - -</v>
      </c>
      <c r="T36" s="126" t="str">
        <f t="shared" si="8"/>
        <v>- - DONE - -</v>
      </c>
      <c r="U36" s="150" t="str">
        <f t="shared" si="8"/>
        <v>- - DONE - -</v>
      </c>
      <c r="V36" s="125">
        <f t="shared" si="6"/>
        <v>0</v>
      </c>
      <c r="W36" s="124">
        <f t="shared" si="7"/>
        <v>0</v>
      </c>
      <c r="X36" s="353"/>
      <c r="Y36" s="226"/>
      <c r="Z36" s="226"/>
      <c r="AA36" s="226"/>
      <c r="AB36" s="226"/>
      <c r="AC36" s="226"/>
    </row>
    <row r="37" spans="1:29" s="225" customFormat="1">
      <c r="A37" s="154">
        <v>12402.76</v>
      </c>
      <c r="B37" s="103"/>
      <c r="C37" s="103">
        <f t="shared" si="1"/>
        <v>206.86999999999898</v>
      </c>
      <c r="D37" s="154">
        <v>0</v>
      </c>
      <c r="E37" s="129">
        <f t="shared" si="2"/>
        <v>42886</v>
      </c>
      <c r="F37" s="179">
        <v>53</v>
      </c>
      <c r="G37" s="182" t="e">
        <f t="shared" si="3"/>
        <v>#VALUE!</v>
      </c>
      <c r="H37" s="130">
        <f t="shared" si="4"/>
        <v>206.71</v>
      </c>
      <c r="I37" s="361">
        <v>41061</v>
      </c>
      <c r="J37" s="126" t="str">
        <f t="shared" si="8"/>
        <v>- - DONE - -</v>
      </c>
      <c r="K37" s="126" t="str">
        <f t="shared" si="8"/>
        <v>- - DONE - -</v>
      </c>
      <c r="L37" s="126" t="str">
        <f t="shared" si="8"/>
        <v>- - DONE - -</v>
      </c>
      <c r="M37" s="126" t="str">
        <f t="shared" si="8"/>
        <v>- - DONE - -</v>
      </c>
      <c r="N37" s="126" t="str">
        <f t="shared" si="8"/>
        <v>- - DONE - -</v>
      </c>
      <c r="O37" s="126" t="str">
        <f t="shared" si="8"/>
        <v>- - DONE - -</v>
      </c>
      <c r="P37" s="126" t="str">
        <f t="shared" si="8"/>
        <v>- - DONE - -</v>
      </c>
      <c r="Q37" s="126" t="str">
        <f t="shared" si="8"/>
        <v>- - DONE - -</v>
      </c>
      <c r="R37" s="126" t="str">
        <f t="shared" si="8"/>
        <v>- - DONE - -</v>
      </c>
      <c r="S37" s="126" t="str">
        <f t="shared" si="8"/>
        <v>- - DONE - -</v>
      </c>
      <c r="T37" s="126" t="str">
        <f t="shared" si="8"/>
        <v>- - DONE - -</v>
      </c>
      <c r="U37" s="150" t="str">
        <f t="shared" si="8"/>
        <v>- - DONE - -</v>
      </c>
      <c r="V37" s="125">
        <f t="shared" si="6"/>
        <v>0</v>
      </c>
      <c r="W37" s="124">
        <f t="shared" si="7"/>
        <v>0</v>
      </c>
      <c r="X37" s="353"/>
      <c r="Y37" s="226"/>
      <c r="Z37" s="226"/>
      <c r="AA37" s="226"/>
      <c r="AB37" s="226"/>
      <c r="AC37" s="226"/>
    </row>
    <row r="38" spans="1:29" s="225" customFormat="1">
      <c r="A38" s="154">
        <v>898.7</v>
      </c>
      <c r="B38" s="103"/>
      <c r="C38" s="103">
        <f t="shared" si="1"/>
        <v>14.879999999999995</v>
      </c>
      <c r="D38" s="154">
        <v>0</v>
      </c>
      <c r="E38" s="129">
        <f t="shared" si="2"/>
        <v>42916</v>
      </c>
      <c r="F38" s="179">
        <v>54</v>
      </c>
      <c r="G38" s="182" t="e">
        <f t="shared" si="3"/>
        <v>#VALUE!</v>
      </c>
      <c r="H38" s="130">
        <f t="shared" si="4"/>
        <v>14.98</v>
      </c>
      <c r="I38" s="361">
        <v>41091</v>
      </c>
      <c r="J38" s="126" t="str">
        <f t="shared" si="8"/>
        <v>- - DONE - -</v>
      </c>
      <c r="K38" s="126" t="str">
        <f t="shared" si="8"/>
        <v>- - DONE - -</v>
      </c>
      <c r="L38" s="126" t="str">
        <f t="shared" si="8"/>
        <v>- - DONE - -</v>
      </c>
      <c r="M38" s="126" t="str">
        <f t="shared" ref="J38:U53" si="10">IF(M$7&lt;$I38,"",IF(M$7=$I38,+$C38,IF(M$7&lt;=$E38,+(ROUND(($A38-$C38)/59,2)),"- - DONE - -")))</f>
        <v>- - DONE - -</v>
      </c>
      <c r="N38" s="126" t="str">
        <f t="shared" si="10"/>
        <v>- - DONE - -</v>
      </c>
      <c r="O38" s="126" t="str">
        <f t="shared" si="10"/>
        <v>- - DONE - -</v>
      </c>
      <c r="P38" s="126" t="str">
        <f t="shared" si="10"/>
        <v>- - DONE - -</v>
      </c>
      <c r="Q38" s="126" t="str">
        <f t="shared" si="10"/>
        <v>- - DONE - -</v>
      </c>
      <c r="R38" s="126" t="str">
        <f t="shared" si="10"/>
        <v>- - DONE - -</v>
      </c>
      <c r="S38" s="126" t="str">
        <f t="shared" si="10"/>
        <v>- - DONE - -</v>
      </c>
      <c r="T38" s="126" t="str">
        <f t="shared" si="10"/>
        <v>- - DONE - -</v>
      </c>
      <c r="U38" s="150" t="str">
        <f t="shared" si="10"/>
        <v>- - DONE - -</v>
      </c>
      <c r="V38" s="125">
        <f t="shared" si="6"/>
        <v>0</v>
      </c>
      <c r="W38" s="124">
        <f t="shared" si="7"/>
        <v>0</v>
      </c>
      <c r="X38" s="353"/>
      <c r="Y38" s="226"/>
      <c r="Z38" s="226"/>
      <c r="AA38" s="226"/>
      <c r="AB38" s="226"/>
      <c r="AC38" s="226"/>
    </row>
    <row r="39" spans="1:29" s="225" customFormat="1">
      <c r="A39" s="154">
        <v>8801.98</v>
      </c>
      <c r="B39" s="103"/>
      <c r="C39" s="103">
        <f t="shared" si="1"/>
        <v>146.68000000000029</v>
      </c>
      <c r="D39" s="154">
        <v>0</v>
      </c>
      <c r="E39" s="129">
        <f t="shared" si="2"/>
        <v>42947</v>
      </c>
      <c r="F39" s="179">
        <v>55</v>
      </c>
      <c r="G39" s="182" t="e">
        <f t="shared" si="3"/>
        <v>#VALUE!</v>
      </c>
      <c r="H39" s="130">
        <f t="shared" si="4"/>
        <v>146.69999999999999</v>
      </c>
      <c r="I39" s="361">
        <v>41122</v>
      </c>
      <c r="J39" s="126" t="str">
        <f t="shared" si="10"/>
        <v>- - DONE - -</v>
      </c>
      <c r="K39" s="126" t="str">
        <f t="shared" si="10"/>
        <v>- - DONE - -</v>
      </c>
      <c r="L39" s="126" t="str">
        <f t="shared" si="10"/>
        <v>- - DONE - -</v>
      </c>
      <c r="M39" s="126" t="str">
        <f t="shared" si="10"/>
        <v>- - DONE - -</v>
      </c>
      <c r="N39" s="126" t="str">
        <f t="shared" si="10"/>
        <v>- - DONE - -</v>
      </c>
      <c r="O39" s="126" t="str">
        <f t="shared" si="10"/>
        <v>- - DONE - -</v>
      </c>
      <c r="P39" s="126" t="str">
        <f t="shared" si="10"/>
        <v>- - DONE - -</v>
      </c>
      <c r="Q39" s="126" t="str">
        <f t="shared" si="10"/>
        <v>- - DONE - -</v>
      </c>
      <c r="R39" s="126" t="str">
        <f t="shared" si="10"/>
        <v>- - DONE - -</v>
      </c>
      <c r="S39" s="126" t="str">
        <f t="shared" si="10"/>
        <v>- - DONE - -</v>
      </c>
      <c r="T39" s="126" t="str">
        <f t="shared" si="10"/>
        <v>- - DONE - -</v>
      </c>
      <c r="U39" s="150" t="str">
        <f t="shared" si="10"/>
        <v>- - DONE - -</v>
      </c>
      <c r="V39" s="125">
        <f t="shared" si="6"/>
        <v>0</v>
      </c>
      <c r="W39" s="124">
        <f t="shared" si="7"/>
        <v>0</v>
      </c>
      <c r="X39" s="353"/>
      <c r="Y39" s="226"/>
      <c r="Z39" s="226"/>
      <c r="AA39" s="226"/>
      <c r="AB39" s="226"/>
      <c r="AC39" s="226"/>
    </row>
    <row r="40" spans="1:29" s="225" customFormat="1">
      <c r="A40" s="154">
        <v>11659.47</v>
      </c>
      <c r="B40" s="103"/>
      <c r="C40" s="103">
        <f t="shared" si="1"/>
        <v>194.59000000000015</v>
      </c>
      <c r="D40" s="154">
        <v>0</v>
      </c>
      <c r="E40" s="129">
        <f t="shared" si="2"/>
        <v>42978</v>
      </c>
      <c r="F40" s="179">
        <v>56</v>
      </c>
      <c r="G40" s="182" t="e">
        <f t="shared" si="3"/>
        <v>#VALUE!</v>
      </c>
      <c r="H40" s="130">
        <f t="shared" si="4"/>
        <v>194.32</v>
      </c>
      <c r="I40" s="361">
        <v>41153</v>
      </c>
      <c r="J40" s="126" t="str">
        <f t="shared" si="10"/>
        <v>- - DONE - -</v>
      </c>
      <c r="K40" s="126" t="str">
        <f t="shared" si="10"/>
        <v>- - DONE - -</v>
      </c>
      <c r="L40" s="126" t="str">
        <f t="shared" si="10"/>
        <v>- - DONE - -</v>
      </c>
      <c r="M40" s="126" t="str">
        <f t="shared" si="10"/>
        <v>- - DONE - -</v>
      </c>
      <c r="N40" s="126" t="str">
        <f t="shared" si="10"/>
        <v>- - DONE - -</v>
      </c>
      <c r="O40" s="126" t="str">
        <f t="shared" si="10"/>
        <v>- - DONE - -</v>
      </c>
      <c r="P40" s="126" t="str">
        <f t="shared" si="10"/>
        <v>- - DONE - -</v>
      </c>
      <c r="Q40" s="126" t="str">
        <f t="shared" si="10"/>
        <v>- - DONE - -</v>
      </c>
      <c r="R40" s="126" t="str">
        <f t="shared" si="10"/>
        <v>- - DONE - -</v>
      </c>
      <c r="S40" s="126" t="str">
        <f t="shared" si="10"/>
        <v>- - DONE - -</v>
      </c>
      <c r="T40" s="126" t="str">
        <f t="shared" si="10"/>
        <v>- - DONE - -</v>
      </c>
      <c r="U40" s="150" t="str">
        <f t="shared" si="10"/>
        <v>- - DONE - -</v>
      </c>
      <c r="V40" s="125">
        <f t="shared" si="6"/>
        <v>0</v>
      </c>
      <c r="W40" s="124">
        <f t="shared" si="7"/>
        <v>0</v>
      </c>
      <c r="X40" s="353"/>
      <c r="Y40" s="226"/>
      <c r="Z40" s="226"/>
      <c r="AA40" s="226"/>
      <c r="AB40" s="226"/>
      <c r="AC40" s="226"/>
    </row>
    <row r="41" spans="1:29" s="225" customFormat="1">
      <c r="A41" s="154">
        <v>21617.4</v>
      </c>
      <c r="B41" s="103"/>
      <c r="C41" s="103">
        <f t="shared" si="1"/>
        <v>360.29000000000087</v>
      </c>
      <c r="D41" s="154">
        <v>0</v>
      </c>
      <c r="E41" s="129">
        <f t="shared" si="2"/>
        <v>43008</v>
      </c>
      <c r="F41" s="179">
        <v>57</v>
      </c>
      <c r="G41" s="182" t="e">
        <f t="shared" si="3"/>
        <v>#VALUE!</v>
      </c>
      <c r="H41" s="130">
        <f t="shared" si="4"/>
        <v>360.29</v>
      </c>
      <c r="I41" s="361">
        <v>41183</v>
      </c>
      <c r="J41" s="126" t="str">
        <f t="shared" si="10"/>
        <v>- - DONE - -</v>
      </c>
      <c r="K41" s="126" t="str">
        <f t="shared" si="10"/>
        <v>- - DONE - -</v>
      </c>
      <c r="L41" s="126" t="str">
        <f t="shared" si="10"/>
        <v>- - DONE - -</v>
      </c>
      <c r="M41" s="126" t="str">
        <f t="shared" si="10"/>
        <v>- - DONE - -</v>
      </c>
      <c r="N41" s="126" t="str">
        <f t="shared" si="10"/>
        <v>- - DONE - -</v>
      </c>
      <c r="O41" s="126" t="str">
        <f t="shared" si="10"/>
        <v>- - DONE - -</v>
      </c>
      <c r="P41" s="126" t="str">
        <f t="shared" si="10"/>
        <v>- - DONE - -</v>
      </c>
      <c r="Q41" s="126" t="str">
        <f t="shared" si="10"/>
        <v>- - DONE - -</v>
      </c>
      <c r="R41" s="126" t="str">
        <f t="shared" si="10"/>
        <v>- - DONE - -</v>
      </c>
      <c r="S41" s="126" t="str">
        <f t="shared" si="10"/>
        <v>- - DONE - -</v>
      </c>
      <c r="T41" s="126" t="str">
        <f t="shared" si="10"/>
        <v>- - DONE - -</v>
      </c>
      <c r="U41" s="150" t="str">
        <f t="shared" si="10"/>
        <v>- - DONE - -</v>
      </c>
      <c r="V41" s="125">
        <f t="shared" si="6"/>
        <v>0</v>
      </c>
      <c r="W41" s="124">
        <f t="shared" si="7"/>
        <v>0</v>
      </c>
      <c r="X41" s="353"/>
      <c r="Y41" s="226"/>
      <c r="Z41" s="226"/>
      <c r="AA41" s="226"/>
      <c r="AB41" s="226"/>
      <c r="AC41" s="226"/>
    </row>
    <row r="42" spans="1:29" s="225" customFormat="1">
      <c r="A42" s="154">
        <v>12342.62</v>
      </c>
      <c r="B42" s="103"/>
      <c r="C42" s="103">
        <f t="shared" si="1"/>
        <v>205.72999999999956</v>
      </c>
      <c r="D42" s="154">
        <v>0</v>
      </c>
      <c r="E42" s="129">
        <f t="shared" si="2"/>
        <v>43039</v>
      </c>
      <c r="F42" s="179">
        <v>58</v>
      </c>
      <c r="G42" s="182" t="e">
        <f t="shared" si="3"/>
        <v>#VALUE!</v>
      </c>
      <c r="H42" s="130">
        <f t="shared" si="4"/>
        <v>205.71</v>
      </c>
      <c r="I42" s="361">
        <v>41214</v>
      </c>
      <c r="J42" s="126" t="str">
        <f t="shared" si="10"/>
        <v>- - DONE - -</v>
      </c>
      <c r="K42" s="126" t="str">
        <f t="shared" si="10"/>
        <v>- - DONE - -</v>
      </c>
      <c r="L42" s="126" t="str">
        <f t="shared" si="10"/>
        <v>- - DONE - -</v>
      </c>
      <c r="M42" s="126" t="str">
        <f t="shared" si="10"/>
        <v>- - DONE - -</v>
      </c>
      <c r="N42" s="126" t="str">
        <f t="shared" si="10"/>
        <v>- - DONE - -</v>
      </c>
      <c r="O42" s="126" t="str">
        <f t="shared" si="10"/>
        <v>- - DONE - -</v>
      </c>
      <c r="P42" s="126" t="str">
        <f t="shared" si="10"/>
        <v>- - DONE - -</v>
      </c>
      <c r="Q42" s="126" t="str">
        <f t="shared" si="10"/>
        <v>- - DONE - -</v>
      </c>
      <c r="R42" s="126" t="str">
        <f t="shared" si="10"/>
        <v>- - DONE - -</v>
      </c>
      <c r="S42" s="126" t="str">
        <f t="shared" si="10"/>
        <v>- - DONE - -</v>
      </c>
      <c r="T42" s="126" t="str">
        <f t="shared" si="10"/>
        <v>- - DONE - -</v>
      </c>
      <c r="U42" s="150" t="str">
        <f t="shared" si="10"/>
        <v>- - DONE - -</v>
      </c>
      <c r="V42" s="125">
        <f t="shared" si="6"/>
        <v>0</v>
      </c>
      <c r="W42" s="124">
        <f t="shared" si="7"/>
        <v>0</v>
      </c>
      <c r="X42" s="353"/>
      <c r="Y42" s="226"/>
      <c r="Z42" s="226"/>
      <c r="AA42" s="226"/>
      <c r="AB42" s="226"/>
      <c r="AC42" s="226"/>
    </row>
    <row r="43" spans="1:29" s="225" customFormat="1">
      <c r="A43" s="155">
        <v>12236.91</v>
      </c>
      <c r="B43" s="135"/>
      <c r="C43" s="135">
        <f t="shared" si="1"/>
        <v>203.86000000000058</v>
      </c>
      <c r="D43" s="155">
        <v>0</v>
      </c>
      <c r="E43" s="133">
        <f t="shared" si="2"/>
        <v>43069</v>
      </c>
      <c r="F43" s="184">
        <v>59</v>
      </c>
      <c r="G43" s="181" t="e">
        <f t="shared" si="3"/>
        <v>#VALUE!</v>
      </c>
      <c r="H43" s="134">
        <f t="shared" si="4"/>
        <v>203.95</v>
      </c>
      <c r="I43" s="363">
        <v>41244</v>
      </c>
      <c r="J43" s="132" t="str">
        <f t="shared" si="10"/>
        <v>- - DONE - -</v>
      </c>
      <c r="K43" s="132" t="str">
        <f t="shared" si="10"/>
        <v>- - DONE - -</v>
      </c>
      <c r="L43" s="132" t="str">
        <f t="shared" si="10"/>
        <v>- - DONE - -</v>
      </c>
      <c r="M43" s="132" t="str">
        <f t="shared" si="10"/>
        <v>- - DONE - -</v>
      </c>
      <c r="N43" s="132" t="str">
        <f t="shared" si="10"/>
        <v>- - DONE - -</v>
      </c>
      <c r="O43" s="132" t="str">
        <f t="shared" si="10"/>
        <v>- - DONE - -</v>
      </c>
      <c r="P43" s="132" t="str">
        <f t="shared" si="10"/>
        <v>- - DONE - -</v>
      </c>
      <c r="Q43" s="132" t="str">
        <f t="shared" si="10"/>
        <v>- - DONE - -</v>
      </c>
      <c r="R43" s="132" t="str">
        <f t="shared" si="10"/>
        <v>- - DONE - -</v>
      </c>
      <c r="S43" s="132" t="str">
        <f t="shared" si="10"/>
        <v>- - DONE - -</v>
      </c>
      <c r="T43" s="132" t="str">
        <f t="shared" si="10"/>
        <v>- - DONE - -</v>
      </c>
      <c r="U43" s="132" t="str">
        <f t="shared" si="10"/>
        <v>- - DONE - -</v>
      </c>
      <c r="V43" s="131">
        <f t="shared" si="6"/>
        <v>0</v>
      </c>
      <c r="W43" s="151">
        <f t="shared" si="7"/>
        <v>0</v>
      </c>
      <c r="X43" s="353"/>
      <c r="Y43" s="226"/>
      <c r="Z43" s="226"/>
      <c r="AA43" s="226"/>
      <c r="AB43" s="226"/>
      <c r="AC43" s="226"/>
    </row>
    <row r="44" spans="1:29" s="225" customFormat="1">
      <c r="A44" s="154">
        <v>23384.07</v>
      </c>
      <c r="B44" s="103"/>
      <c r="C44" s="103">
        <f t="shared" si="1"/>
        <v>390</v>
      </c>
      <c r="D44" s="154">
        <v>0</v>
      </c>
      <c r="E44" s="129">
        <f t="shared" si="2"/>
        <v>43100</v>
      </c>
      <c r="F44" s="183"/>
      <c r="G44" s="183"/>
      <c r="H44" s="130">
        <f t="shared" si="4"/>
        <v>389.73</v>
      </c>
      <c r="I44" s="361">
        <v>41275</v>
      </c>
      <c r="J44" s="150" t="str">
        <f t="shared" si="10"/>
        <v>- - DONE - -</v>
      </c>
      <c r="K44" s="150" t="str">
        <f t="shared" si="10"/>
        <v>- - DONE - -</v>
      </c>
      <c r="L44" s="150" t="str">
        <f t="shared" si="10"/>
        <v>- - DONE - -</v>
      </c>
      <c r="M44" s="150" t="str">
        <f t="shared" si="10"/>
        <v>- - DONE - -</v>
      </c>
      <c r="N44" s="150" t="str">
        <f t="shared" si="10"/>
        <v>- - DONE - -</v>
      </c>
      <c r="O44" s="150" t="str">
        <f t="shared" si="10"/>
        <v>- - DONE - -</v>
      </c>
      <c r="P44" s="150" t="str">
        <f t="shared" si="10"/>
        <v>- - DONE - -</v>
      </c>
      <c r="Q44" s="150" t="str">
        <f t="shared" si="10"/>
        <v>- - DONE - -</v>
      </c>
      <c r="R44" s="150" t="str">
        <f t="shared" si="10"/>
        <v>- - DONE - -</v>
      </c>
      <c r="S44" s="150" t="str">
        <f t="shared" si="10"/>
        <v>- - DONE - -</v>
      </c>
      <c r="T44" s="150" t="str">
        <f t="shared" si="10"/>
        <v>- - DONE - -</v>
      </c>
      <c r="U44" s="150" t="str">
        <f t="shared" si="10"/>
        <v>- - DONE - -</v>
      </c>
      <c r="V44" s="125">
        <f t="shared" si="6"/>
        <v>0</v>
      </c>
      <c r="W44" s="124">
        <f t="shared" si="7"/>
        <v>0</v>
      </c>
      <c r="X44" s="353"/>
      <c r="Y44" s="226"/>
      <c r="Z44" s="226"/>
      <c r="AA44" s="226"/>
      <c r="AB44" s="226"/>
      <c r="AC44" s="226"/>
    </row>
    <row r="45" spans="1:29" s="225" customFormat="1">
      <c r="A45" s="154">
        <v>42255.91</v>
      </c>
      <c r="B45" s="103"/>
      <c r="C45" s="103">
        <f t="shared" si="1"/>
        <v>703.9800000000032</v>
      </c>
      <c r="D45" s="154">
        <v>-3.1832314562052488E-12</v>
      </c>
      <c r="E45" s="129">
        <f t="shared" si="2"/>
        <v>43131</v>
      </c>
      <c r="F45" s="183"/>
      <c r="G45" s="183"/>
      <c r="H45" s="130">
        <f t="shared" si="4"/>
        <v>704.27</v>
      </c>
      <c r="I45" s="361">
        <v>41306</v>
      </c>
      <c r="J45" s="126" t="str">
        <f t="shared" si="10"/>
        <v>- - DONE - -</v>
      </c>
      <c r="K45" s="126" t="str">
        <f t="shared" si="10"/>
        <v>- - DONE - -</v>
      </c>
      <c r="L45" s="126" t="str">
        <f t="shared" si="10"/>
        <v>- - DONE - -</v>
      </c>
      <c r="M45" s="126" t="str">
        <f t="shared" si="10"/>
        <v>- - DONE - -</v>
      </c>
      <c r="N45" s="126" t="str">
        <f t="shared" si="10"/>
        <v>- - DONE - -</v>
      </c>
      <c r="O45" s="126" t="str">
        <f t="shared" si="10"/>
        <v>- - DONE - -</v>
      </c>
      <c r="P45" s="126" t="str">
        <f t="shared" si="10"/>
        <v>- - DONE - -</v>
      </c>
      <c r="Q45" s="126" t="str">
        <f t="shared" si="10"/>
        <v>- - DONE - -</v>
      </c>
      <c r="R45" s="126" t="str">
        <f t="shared" si="10"/>
        <v>- - DONE - -</v>
      </c>
      <c r="S45" s="126" t="str">
        <f t="shared" si="10"/>
        <v>- - DONE - -</v>
      </c>
      <c r="T45" s="126" t="str">
        <f t="shared" si="10"/>
        <v>- - DONE - -</v>
      </c>
      <c r="U45" s="150" t="str">
        <f t="shared" si="10"/>
        <v>- - DONE - -</v>
      </c>
      <c r="V45" s="125">
        <f t="shared" si="6"/>
        <v>0</v>
      </c>
      <c r="W45" s="124">
        <f t="shared" si="7"/>
        <v>-3.1832314562052488E-12</v>
      </c>
      <c r="X45" s="353"/>
      <c r="Y45" s="226"/>
      <c r="Z45" s="226"/>
      <c r="AA45" s="226"/>
      <c r="AB45" s="226"/>
      <c r="AC45" s="226"/>
    </row>
    <row r="46" spans="1:29" s="225" customFormat="1">
      <c r="A46" s="154">
        <v>34869.230000000003</v>
      </c>
      <c r="B46" s="103"/>
      <c r="C46" s="103">
        <f t="shared" si="1"/>
        <v>581.38000000000466</v>
      </c>
      <c r="D46" s="154">
        <v>0.23000000000433829</v>
      </c>
      <c r="E46" s="129">
        <f t="shared" si="2"/>
        <v>43159</v>
      </c>
      <c r="F46" s="183"/>
      <c r="G46" s="183"/>
      <c r="H46" s="130">
        <f t="shared" si="4"/>
        <v>581.15</v>
      </c>
      <c r="I46" s="361">
        <v>41334</v>
      </c>
      <c r="J46" s="126" t="str">
        <f t="shared" si="10"/>
        <v>- - DONE - -</v>
      </c>
      <c r="K46" s="126" t="str">
        <f t="shared" si="10"/>
        <v>- - DONE - -</v>
      </c>
      <c r="L46" s="126" t="str">
        <f t="shared" si="10"/>
        <v>- - DONE - -</v>
      </c>
      <c r="M46" s="126" t="str">
        <f t="shared" si="10"/>
        <v>- - DONE - -</v>
      </c>
      <c r="N46" s="126" t="str">
        <f t="shared" si="10"/>
        <v>- - DONE - -</v>
      </c>
      <c r="O46" s="126" t="str">
        <f t="shared" si="10"/>
        <v>- - DONE - -</v>
      </c>
      <c r="P46" s="126" t="str">
        <f t="shared" si="10"/>
        <v>- - DONE - -</v>
      </c>
      <c r="Q46" s="126" t="str">
        <f t="shared" si="10"/>
        <v>- - DONE - -</v>
      </c>
      <c r="R46" s="126" t="str">
        <f t="shared" si="10"/>
        <v>- - DONE - -</v>
      </c>
      <c r="S46" s="126" t="str">
        <f t="shared" si="10"/>
        <v>- - DONE - -</v>
      </c>
      <c r="T46" s="126" t="str">
        <f t="shared" si="10"/>
        <v>- - DONE - -</v>
      </c>
      <c r="U46" s="150" t="str">
        <f t="shared" si="10"/>
        <v>- - DONE - -</v>
      </c>
      <c r="V46" s="125">
        <f t="shared" si="6"/>
        <v>0</v>
      </c>
      <c r="W46" s="124">
        <f t="shared" si="7"/>
        <v>0.23000000000433829</v>
      </c>
      <c r="X46" s="353"/>
      <c r="Y46" s="226"/>
      <c r="Z46" s="226"/>
      <c r="AA46" s="226"/>
      <c r="AB46" s="226"/>
      <c r="AC46" s="226"/>
    </row>
    <row r="47" spans="1:29" s="225" customFormat="1">
      <c r="A47" s="154">
        <v>28203.09</v>
      </c>
      <c r="B47" s="103"/>
      <c r="C47" s="103">
        <f t="shared" si="1"/>
        <v>470.13999999999942</v>
      </c>
      <c r="D47" s="154">
        <v>8.9999999996052793E-2</v>
      </c>
      <c r="E47" s="129">
        <f t="shared" si="2"/>
        <v>43190</v>
      </c>
      <c r="F47" s="183"/>
      <c r="G47" s="183"/>
      <c r="H47" s="130">
        <f t="shared" si="4"/>
        <v>470.05</v>
      </c>
      <c r="I47" s="361">
        <v>41365</v>
      </c>
      <c r="J47" s="126" t="str">
        <f t="shared" si="10"/>
        <v>- - DONE - -</v>
      </c>
      <c r="K47" s="126" t="str">
        <f t="shared" si="10"/>
        <v>- - DONE - -</v>
      </c>
      <c r="L47" s="126" t="str">
        <f t="shared" si="10"/>
        <v>- - DONE - -</v>
      </c>
      <c r="M47" s="126" t="str">
        <f t="shared" si="10"/>
        <v>- - DONE - -</v>
      </c>
      <c r="N47" s="126" t="str">
        <f t="shared" si="10"/>
        <v>- - DONE - -</v>
      </c>
      <c r="O47" s="126" t="str">
        <f t="shared" si="10"/>
        <v>- - DONE - -</v>
      </c>
      <c r="P47" s="126" t="str">
        <f t="shared" si="10"/>
        <v>- - DONE - -</v>
      </c>
      <c r="Q47" s="126" t="str">
        <f t="shared" si="10"/>
        <v>- - DONE - -</v>
      </c>
      <c r="R47" s="126" t="str">
        <f t="shared" si="10"/>
        <v>- - DONE - -</v>
      </c>
      <c r="S47" s="126" t="str">
        <f t="shared" si="10"/>
        <v>- - DONE - -</v>
      </c>
      <c r="T47" s="126" t="str">
        <f t="shared" si="10"/>
        <v>- - DONE - -</v>
      </c>
      <c r="U47" s="150" t="str">
        <f t="shared" si="10"/>
        <v>- - DONE - -</v>
      </c>
      <c r="V47" s="125">
        <f t="shared" si="6"/>
        <v>0</v>
      </c>
      <c r="W47" s="124">
        <f t="shared" si="7"/>
        <v>8.9999999996052793E-2</v>
      </c>
      <c r="X47" s="353"/>
      <c r="Y47" s="226"/>
      <c r="Z47" s="226"/>
      <c r="AA47" s="226"/>
      <c r="AB47" s="226"/>
      <c r="AC47" s="226"/>
    </row>
    <row r="48" spans="1:29" s="225" customFormat="1">
      <c r="A48" s="154">
        <v>59005.53</v>
      </c>
      <c r="B48" s="103"/>
      <c r="C48" s="103">
        <f t="shared" si="1"/>
        <v>983.16000000000349</v>
      </c>
      <c r="D48" s="154">
        <v>-0.27000000000634827</v>
      </c>
      <c r="E48" s="129">
        <f t="shared" si="2"/>
        <v>43220</v>
      </c>
      <c r="F48" s="183"/>
      <c r="G48" s="183"/>
      <c r="H48" s="130">
        <f t="shared" si="4"/>
        <v>983.43</v>
      </c>
      <c r="I48" s="361">
        <v>41395</v>
      </c>
      <c r="J48" s="126" t="str">
        <f t="shared" si="10"/>
        <v>- - DONE - -</v>
      </c>
      <c r="K48" s="126" t="str">
        <f t="shared" si="10"/>
        <v>- - DONE - -</v>
      </c>
      <c r="L48" s="126" t="str">
        <f t="shared" si="10"/>
        <v>- - DONE - -</v>
      </c>
      <c r="M48" s="126" t="str">
        <f t="shared" si="10"/>
        <v>- - DONE - -</v>
      </c>
      <c r="N48" s="126" t="str">
        <f t="shared" si="10"/>
        <v>- - DONE - -</v>
      </c>
      <c r="O48" s="126" t="str">
        <f t="shared" si="10"/>
        <v>- - DONE - -</v>
      </c>
      <c r="P48" s="126" t="str">
        <f t="shared" si="10"/>
        <v>- - DONE - -</v>
      </c>
      <c r="Q48" s="126" t="str">
        <f t="shared" si="10"/>
        <v>- - DONE - -</v>
      </c>
      <c r="R48" s="126" t="str">
        <f t="shared" si="10"/>
        <v>- - DONE - -</v>
      </c>
      <c r="S48" s="126" t="str">
        <f t="shared" si="10"/>
        <v>- - DONE - -</v>
      </c>
      <c r="T48" s="126" t="str">
        <f t="shared" si="10"/>
        <v>- - DONE - -</v>
      </c>
      <c r="U48" s="150" t="str">
        <f t="shared" si="10"/>
        <v>- - DONE - -</v>
      </c>
      <c r="V48" s="125">
        <f t="shared" si="6"/>
        <v>0</v>
      </c>
      <c r="W48" s="124">
        <f t="shared" si="7"/>
        <v>-0.27000000000634827</v>
      </c>
      <c r="X48" s="353"/>
      <c r="Y48" s="226"/>
      <c r="Z48" s="226"/>
      <c r="AA48" s="226"/>
      <c r="AB48" s="226"/>
      <c r="AC48" s="226"/>
    </row>
    <row r="49" spans="1:29" s="225" customFormat="1">
      <c r="A49" s="154">
        <v>13994.76</v>
      </c>
      <c r="B49" s="103"/>
      <c r="C49" s="103">
        <f t="shared" si="1"/>
        <v>233.01000000000022</v>
      </c>
      <c r="D49" s="154">
        <v>-0.23999999999978172</v>
      </c>
      <c r="E49" s="129">
        <f t="shared" si="2"/>
        <v>43251</v>
      </c>
      <c r="F49" s="183"/>
      <c r="G49" s="183"/>
      <c r="H49" s="130">
        <f t="shared" si="4"/>
        <v>233.25</v>
      </c>
      <c r="I49" s="361">
        <v>41426</v>
      </c>
      <c r="J49" s="126" t="str">
        <f t="shared" si="10"/>
        <v>- - DONE - -</v>
      </c>
      <c r="K49" s="126" t="str">
        <f t="shared" si="10"/>
        <v>- - DONE - -</v>
      </c>
      <c r="L49" s="126" t="str">
        <f t="shared" si="10"/>
        <v>- - DONE - -</v>
      </c>
      <c r="M49" s="126" t="str">
        <f t="shared" si="10"/>
        <v>- - DONE - -</v>
      </c>
      <c r="N49" s="126" t="str">
        <f t="shared" si="10"/>
        <v>- - DONE - -</v>
      </c>
      <c r="O49" s="126" t="str">
        <f t="shared" si="10"/>
        <v>- - DONE - -</v>
      </c>
      <c r="P49" s="126" t="str">
        <f t="shared" si="10"/>
        <v>- - DONE - -</v>
      </c>
      <c r="Q49" s="126" t="str">
        <f t="shared" si="10"/>
        <v>- - DONE - -</v>
      </c>
      <c r="R49" s="126" t="str">
        <f t="shared" si="10"/>
        <v>- - DONE - -</v>
      </c>
      <c r="S49" s="126" t="str">
        <f t="shared" si="10"/>
        <v>- - DONE - -</v>
      </c>
      <c r="T49" s="126" t="str">
        <f t="shared" si="10"/>
        <v>- - DONE - -</v>
      </c>
      <c r="U49" s="150" t="str">
        <f t="shared" si="10"/>
        <v>- - DONE - -</v>
      </c>
      <c r="V49" s="125">
        <f t="shared" si="6"/>
        <v>0</v>
      </c>
      <c r="W49" s="124">
        <f t="shared" si="7"/>
        <v>-0.23999999999978172</v>
      </c>
      <c r="X49" s="353"/>
      <c r="Y49" s="226"/>
      <c r="Z49" s="226"/>
      <c r="AA49" s="226"/>
      <c r="AB49" s="226"/>
      <c r="AC49" s="226"/>
    </row>
    <row r="50" spans="1:29" s="225" customFormat="1">
      <c r="A50" s="154">
        <v>36018.699999999997</v>
      </c>
      <c r="B50" s="103"/>
      <c r="C50" s="103">
        <f t="shared" si="1"/>
        <v>600.41000000000349</v>
      </c>
      <c r="D50" s="154">
        <v>0.10000000000673026</v>
      </c>
      <c r="E50" s="129">
        <f t="shared" si="2"/>
        <v>43281</v>
      </c>
      <c r="F50" s="183"/>
      <c r="G50" s="183"/>
      <c r="H50" s="130">
        <f t="shared" si="4"/>
        <v>600.30999999999995</v>
      </c>
      <c r="I50" s="361">
        <v>41456</v>
      </c>
      <c r="J50" s="126" t="str">
        <f t="shared" si="10"/>
        <v>- - DONE - -</v>
      </c>
      <c r="K50" s="126" t="str">
        <f t="shared" si="10"/>
        <v>- - DONE - -</v>
      </c>
      <c r="L50" s="126" t="str">
        <f t="shared" si="10"/>
        <v>- - DONE - -</v>
      </c>
      <c r="M50" s="126" t="str">
        <f t="shared" si="10"/>
        <v>- - DONE - -</v>
      </c>
      <c r="N50" s="126" t="str">
        <f t="shared" si="10"/>
        <v>- - DONE - -</v>
      </c>
      <c r="O50" s="126" t="str">
        <f t="shared" si="10"/>
        <v>- - DONE - -</v>
      </c>
      <c r="P50" s="126" t="str">
        <f t="shared" si="10"/>
        <v>- - DONE - -</v>
      </c>
      <c r="Q50" s="126" t="str">
        <f t="shared" si="10"/>
        <v>- - DONE - -</v>
      </c>
      <c r="R50" s="126" t="str">
        <f t="shared" si="10"/>
        <v>- - DONE - -</v>
      </c>
      <c r="S50" s="126" t="str">
        <f t="shared" si="10"/>
        <v>- - DONE - -</v>
      </c>
      <c r="T50" s="126" t="str">
        <f t="shared" si="10"/>
        <v>- - DONE - -</v>
      </c>
      <c r="U50" s="150" t="str">
        <f t="shared" si="10"/>
        <v>- - DONE - -</v>
      </c>
      <c r="V50" s="125">
        <f t="shared" si="6"/>
        <v>0</v>
      </c>
      <c r="W50" s="124">
        <f t="shared" si="7"/>
        <v>0.10000000000673026</v>
      </c>
      <c r="X50" s="353"/>
      <c r="Y50" s="226"/>
      <c r="Z50" s="226"/>
      <c r="AA50" s="226"/>
      <c r="AB50" s="226"/>
      <c r="AC50" s="226"/>
    </row>
    <row r="51" spans="1:29" s="225" customFormat="1">
      <c r="A51" s="154">
        <v>25252.639999999999</v>
      </c>
      <c r="B51" s="103"/>
      <c r="C51" s="103">
        <f t="shared" si="1"/>
        <v>420.72000000000116</v>
      </c>
      <c r="D51" s="154">
        <v>-0.16000000000212822</v>
      </c>
      <c r="E51" s="129">
        <f t="shared" si="2"/>
        <v>43312</v>
      </c>
      <c r="F51" s="183"/>
      <c r="G51" s="183"/>
      <c r="H51" s="130">
        <f t="shared" si="4"/>
        <v>420.88</v>
      </c>
      <c r="I51" s="361">
        <v>41487</v>
      </c>
      <c r="J51" s="126" t="str">
        <f t="shared" si="10"/>
        <v>- - DONE - -</v>
      </c>
      <c r="K51" s="126" t="str">
        <f t="shared" si="10"/>
        <v>- - DONE - -</v>
      </c>
      <c r="L51" s="126" t="str">
        <f t="shared" si="10"/>
        <v>- - DONE - -</v>
      </c>
      <c r="M51" s="126" t="str">
        <f t="shared" si="10"/>
        <v>- - DONE - -</v>
      </c>
      <c r="N51" s="126" t="str">
        <f t="shared" si="10"/>
        <v>- - DONE - -</v>
      </c>
      <c r="O51" s="126" t="str">
        <f t="shared" si="10"/>
        <v>- - DONE - -</v>
      </c>
      <c r="P51" s="126" t="str">
        <f t="shared" si="10"/>
        <v>- - DONE - -</v>
      </c>
      <c r="Q51" s="126" t="str">
        <f t="shared" si="10"/>
        <v>- - DONE - -</v>
      </c>
      <c r="R51" s="126" t="str">
        <f t="shared" si="10"/>
        <v>- - DONE - -</v>
      </c>
      <c r="S51" s="126" t="str">
        <f t="shared" si="10"/>
        <v>- - DONE - -</v>
      </c>
      <c r="T51" s="126" t="str">
        <f t="shared" si="10"/>
        <v>- - DONE - -</v>
      </c>
      <c r="U51" s="150" t="str">
        <f t="shared" si="10"/>
        <v>- - DONE - -</v>
      </c>
      <c r="V51" s="125">
        <f t="shared" si="6"/>
        <v>0</v>
      </c>
      <c r="W51" s="124">
        <f t="shared" si="7"/>
        <v>-0.16000000000212822</v>
      </c>
      <c r="X51" s="353"/>
      <c r="Y51" s="226"/>
      <c r="Z51" s="226"/>
      <c r="AA51" s="226"/>
      <c r="AB51" s="226"/>
      <c r="AC51" s="226"/>
    </row>
    <row r="52" spans="1:29" s="225" customFormat="1">
      <c r="A52" s="154">
        <v>66845.440000000002</v>
      </c>
      <c r="B52" s="103"/>
      <c r="C52" s="103">
        <f t="shared" si="1"/>
        <v>1114.1300000000047</v>
      </c>
      <c r="D52" s="154">
        <v>3.9999999997235136E-2</v>
      </c>
      <c r="E52" s="129">
        <f t="shared" si="2"/>
        <v>43343</v>
      </c>
      <c r="F52" s="183"/>
      <c r="G52" s="183"/>
      <c r="H52" s="130">
        <f t="shared" si="4"/>
        <v>1114.0899999999999</v>
      </c>
      <c r="I52" s="361">
        <v>41518</v>
      </c>
      <c r="J52" s="150" t="str">
        <f t="shared" si="10"/>
        <v>- - DONE - -</v>
      </c>
      <c r="K52" s="150" t="str">
        <f t="shared" si="10"/>
        <v>- - DONE - -</v>
      </c>
      <c r="L52" s="150" t="str">
        <f t="shared" si="10"/>
        <v>- - DONE - -</v>
      </c>
      <c r="M52" s="150" t="str">
        <f t="shared" si="10"/>
        <v>- - DONE - -</v>
      </c>
      <c r="N52" s="150" t="str">
        <f t="shared" si="10"/>
        <v>- - DONE - -</v>
      </c>
      <c r="O52" s="150" t="str">
        <f t="shared" si="10"/>
        <v>- - DONE - -</v>
      </c>
      <c r="P52" s="150" t="str">
        <f t="shared" si="10"/>
        <v>- - DONE - -</v>
      </c>
      <c r="Q52" s="150" t="str">
        <f t="shared" si="10"/>
        <v>- - DONE - -</v>
      </c>
      <c r="R52" s="150" t="str">
        <f t="shared" si="10"/>
        <v>- - DONE - -</v>
      </c>
      <c r="S52" s="150" t="str">
        <f t="shared" si="10"/>
        <v>- - DONE - -</v>
      </c>
      <c r="T52" s="150" t="str">
        <f t="shared" si="10"/>
        <v>- - DONE - -</v>
      </c>
      <c r="U52" s="150" t="str">
        <f t="shared" si="10"/>
        <v>- - DONE - -</v>
      </c>
      <c r="V52" s="125">
        <f t="shared" si="6"/>
        <v>0</v>
      </c>
      <c r="W52" s="153">
        <f t="shared" si="7"/>
        <v>3.9999999997235136E-2</v>
      </c>
      <c r="X52" s="353"/>
      <c r="Y52" s="226"/>
      <c r="Z52" s="226"/>
      <c r="AA52" s="226"/>
      <c r="AB52" s="226"/>
      <c r="AC52" s="226"/>
    </row>
    <row r="53" spans="1:29" s="225" customFormat="1">
      <c r="A53" s="154">
        <v>50004.800000000003</v>
      </c>
      <c r="B53" s="103"/>
      <c r="C53" s="103">
        <f t="shared" si="1"/>
        <v>833.61000000000786</v>
      </c>
      <c r="D53" s="154">
        <v>0.20000000000527507</v>
      </c>
      <c r="E53" s="129">
        <f t="shared" si="2"/>
        <v>43373</v>
      </c>
      <c r="F53" s="183"/>
      <c r="G53" s="183"/>
      <c r="H53" s="130">
        <f t="shared" si="4"/>
        <v>833.41</v>
      </c>
      <c r="I53" s="361">
        <v>41548</v>
      </c>
      <c r="J53" s="150" t="str">
        <f t="shared" si="10"/>
        <v>- - DONE - -</v>
      </c>
      <c r="K53" s="150" t="str">
        <f t="shared" si="10"/>
        <v>- - DONE - -</v>
      </c>
      <c r="L53" s="150" t="str">
        <f t="shared" si="10"/>
        <v>- - DONE - -</v>
      </c>
      <c r="M53" s="150" t="str">
        <f t="shared" si="10"/>
        <v>- - DONE - -</v>
      </c>
      <c r="N53" s="150" t="str">
        <f t="shared" si="10"/>
        <v>- - DONE - -</v>
      </c>
      <c r="O53" s="150" t="str">
        <f t="shared" si="10"/>
        <v>- - DONE - -</v>
      </c>
      <c r="P53" s="150" t="str">
        <f t="shared" si="10"/>
        <v>- - DONE - -</v>
      </c>
      <c r="Q53" s="150" t="str">
        <f t="shared" si="10"/>
        <v>- - DONE - -</v>
      </c>
      <c r="R53" s="150" t="str">
        <f t="shared" si="10"/>
        <v>- - DONE - -</v>
      </c>
      <c r="S53" s="150" t="str">
        <f t="shared" si="10"/>
        <v>- - DONE - -</v>
      </c>
      <c r="T53" s="150" t="str">
        <f t="shared" si="10"/>
        <v>- - DONE - -</v>
      </c>
      <c r="U53" s="150" t="str">
        <f t="shared" si="10"/>
        <v>- - DONE - -</v>
      </c>
      <c r="V53" s="125">
        <f t="shared" si="6"/>
        <v>0</v>
      </c>
      <c r="W53" s="153">
        <f t="shared" si="7"/>
        <v>0.20000000000527507</v>
      </c>
      <c r="X53" s="353"/>
      <c r="Y53" s="226"/>
      <c r="Z53" s="226"/>
      <c r="AA53" s="226"/>
      <c r="AB53" s="226"/>
      <c r="AC53" s="226"/>
    </row>
    <row r="54" spans="1:29" s="225" customFormat="1">
      <c r="A54" s="154">
        <v>21093.71</v>
      </c>
      <c r="B54" s="103"/>
      <c r="C54" s="103">
        <f t="shared" si="1"/>
        <v>351.66999999999825</v>
      </c>
      <c r="D54" s="154">
        <v>0.11000000000103682</v>
      </c>
      <c r="E54" s="129">
        <f t="shared" si="2"/>
        <v>43404</v>
      </c>
      <c r="F54" s="183"/>
      <c r="G54" s="183"/>
      <c r="H54" s="130">
        <f t="shared" si="4"/>
        <v>351.56</v>
      </c>
      <c r="I54" s="361">
        <v>41579</v>
      </c>
      <c r="J54" s="150" t="str">
        <f t="shared" ref="J54:U69" si="11">IF(J$7&lt;$I54,"",IF(J$7=$I54,+$C54,IF(J$7&lt;=$E54,+(ROUND(($A54-$C54)/59,2)),"- - DONE - -")))</f>
        <v>- - DONE - -</v>
      </c>
      <c r="K54" s="150" t="str">
        <f t="shared" si="11"/>
        <v>- - DONE - -</v>
      </c>
      <c r="L54" s="150" t="str">
        <f t="shared" si="11"/>
        <v>- - DONE - -</v>
      </c>
      <c r="M54" s="150" t="str">
        <f t="shared" si="11"/>
        <v>- - DONE - -</v>
      </c>
      <c r="N54" s="150" t="str">
        <f t="shared" si="11"/>
        <v>- - DONE - -</v>
      </c>
      <c r="O54" s="150" t="str">
        <f t="shared" si="11"/>
        <v>- - DONE - -</v>
      </c>
      <c r="P54" s="150" t="str">
        <f t="shared" si="11"/>
        <v>- - DONE - -</v>
      </c>
      <c r="Q54" s="150" t="str">
        <f t="shared" si="11"/>
        <v>- - DONE - -</v>
      </c>
      <c r="R54" s="150" t="str">
        <f t="shared" si="11"/>
        <v>- - DONE - -</v>
      </c>
      <c r="S54" s="150" t="str">
        <f t="shared" si="11"/>
        <v>- - DONE - -</v>
      </c>
      <c r="T54" s="150" t="str">
        <f t="shared" si="11"/>
        <v>- - DONE - -</v>
      </c>
      <c r="U54" s="150" t="str">
        <f t="shared" si="11"/>
        <v>- - DONE - -</v>
      </c>
      <c r="V54" s="125">
        <f t="shared" si="6"/>
        <v>0</v>
      </c>
      <c r="W54" s="153">
        <f t="shared" si="7"/>
        <v>0.11000000000103682</v>
      </c>
      <c r="X54" s="353"/>
      <c r="Y54" s="226"/>
      <c r="Z54" s="226"/>
      <c r="AA54" s="226"/>
      <c r="AB54" s="226"/>
      <c r="AC54" s="226"/>
    </row>
    <row r="55" spans="1:29" s="225" customFormat="1">
      <c r="A55" s="155">
        <v>26070.400000000001</v>
      </c>
      <c r="B55" s="135"/>
      <c r="C55" s="135">
        <f t="shared" si="1"/>
        <v>434.31000000000131</v>
      </c>
      <c r="D55" s="155">
        <v>-0.20000000000800355</v>
      </c>
      <c r="E55" s="133">
        <f t="shared" si="2"/>
        <v>43434</v>
      </c>
      <c r="F55" s="184"/>
      <c r="G55" s="184"/>
      <c r="H55" s="134">
        <f t="shared" si="4"/>
        <v>434.51</v>
      </c>
      <c r="I55" s="363">
        <v>41609</v>
      </c>
      <c r="J55" s="132" t="str">
        <f t="shared" si="11"/>
        <v>- - DONE - -</v>
      </c>
      <c r="K55" s="132" t="str">
        <f t="shared" si="11"/>
        <v>- - DONE - -</v>
      </c>
      <c r="L55" s="132" t="str">
        <f t="shared" si="11"/>
        <v>- - DONE - -</v>
      </c>
      <c r="M55" s="132" t="str">
        <f t="shared" si="11"/>
        <v>- - DONE - -</v>
      </c>
      <c r="N55" s="132" t="str">
        <f t="shared" si="11"/>
        <v>- - DONE - -</v>
      </c>
      <c r="O55" s="132" t="str">
        <f t="shared" si="11"/>
        <v>- - DONE - -</v>
      </c>
      <c r="P55" s="132" t="str">
        <f t="shared" si="11"/>
        <v>- - DONE - -</v>
      </c>
      <c r="Q55" s="132" t="str">
        <f t="shared" si="11"/>
        <v>- - DONE - -</v>
      </c>
      <c r="R55" s="132" t="str">
        <f t="shared" si="11"/>
        <v>- - DONE - -</v>
      </c>
      <c r="S55" s="132" t="str">
        <f t="shared" si="11"/>
        <v>- - DONE - -</v>
      </c>
      <c r="T55" s="132" t="str">
        <f t="shared" si="11"/>
        <v>- - DONE - -</v>
      </c>
      <c r="U55" s="132" t="str">
        <f t="shared" si="11"/>
        <v>- - DONE - -</v>
      </c>
      <c r="V55" s="125">
        <f t="shared" si="6"/>
        <v>0</v>
      </c>
      <c r="W55" s="151">
        <f t="shared" si="7"/>
        <v>-0.20000000000800355</v>
      </c>
      <c r="X55" s="353"/>
      <c r="Y55" s="226"/>
      <c r="Z55" s="226"/>
      <c r="AA55" s="226"/>
      <c r="AB55" s="226"/>
      <c r="AC55" s="226"/>
    </row>
    <row r="56" spans="1:29" s="225" customFormat="1">
      <c r="A56" s="154">
        <v>27191.98</v>
      </c>
      <c r="B56" s="103"/>
      <c r="C56" s="103">
        <f t="shared" si="1"/>
        <v>453.18000000000029</v>
      </c>
      <c r="D56" s="154">
        <v>0</v>
      </c>
      <c r="E56" s="129">
        <f t="shared" si="2"/>
        <v>43465</v>
      </c>
      <c r="F56" s="183"/>
      <c r="G56" s="183"/>
      <c r="H56" s="130">
        <f t="shared" si="4"/>
        <v>453.2</v>
      </c>
      <c r="I56" s="361">
        <v>41640</v>
      </c>
      <c r="J56" s="150" t="str">
        <f>IF(J$7&lt;$I56,"",IF(J$7=$I56,+$C56,IF(J$7&lt;=$E56,+(ROUND(($A56-$C56)/59,2)),"- - DONE - -")))</f>
        <v>- - DONE - -</v>
      </c>
      <c r="K56" s="150" t="str">
        <f t="shared" si="11"/>
        <v>- - DONE - -</v>
      </c>
      <c r="L56" s="150" t="str">
        <f t="shared" si="11"/>
        <v>- - DONE - -</v>
      </c>
      <c r="M56" s="150" t="str">
        <f t="shared" si="11"/>
        <v>- - DONE - -</v>
      </c>
      <c r="N56" s="150" t="str">
        <f t="shared" si="11"/>
        <v>- - DONE - -</v>
      </c>
      <c r="O56" s="150" t="str">
        <f t="shared" si="11"/>
        <v>- - DONE - -</v>
      </c>
      <c r="P56" s="150" t="str">
        <f t="shared" si="11"/>
        <v>- - DONE - -</v>
      </c>
      <c r="Q56" s="150" t="str">
        <f t="shared" si="11"/>
        <v>- - DONE - -</v>
      </c>
      <c r="R56" s="150" t="str">
        <f t="shared" si="11"/>
        <v>- - DONE - -</v>
      </c>
      <c r="S56" s="150" t="str">
        <f t="shared" si="11"/>
        <v>- - DONE - -</v>
      </c>
      <c r="T56" s="150" t="str">
        <f t="shared" si="11"/>
        <v>- - DONE - -</v>
      </c>
      <c r="U56" s="150" t="str">
        <f t="shared" si="11"/>
        <v>- - DONE - -</v>
      </c>
      <c r="V56" s="125">
        <f t="shared" si="6"/>
        <v>0</v>
      </c>
      <c r="W56" s="124">
        <f t="shared" si="7"/>
        <v>0</v>
      </c>
      <c r="X56" s="353"/>
      <c r="Y56" s="226"/>
      <c r="Z56" s="226"/>
      <c r="AA56" s="226"/>
      <c r="AB56" s="226"/>
      <c r="AC56" s="226"/>
    </row>
    <row r="57" spans="1:29" s="225" customFormat="1">
      <c r="A57" s="154">
        <v>36894.17</v>
      </c>
      <c r="B57" s="103"/>
      <c r="C57" s="103">
        <f t="shared" si="1"/>
        <v>615.06999999999971</v>
      </c>
      <c r="D57" s="154">
        <v>3.2969182939268649E-12</v>
      </c>
      <c r="E57" s="129">
        <f t="shared" si="2"/>
        <v>43496</v>
      </c>
      <c r="F57" s="183"/>
      <c r="G57" s="183"/>
      <c r="H57" s="130">
        <f t="shared" si="4"/>
        <v>614.9</v>
      </c>
      <c r="I57" s="361">
        <v>41671</v>
      </c>
      <c r="J57" s="126" t="str">
        <f>IF(J$7&lt;$I57,"",IF(J$7=$I57,+$C57,IF(J$7&lt;=$E57,+(ROUND(($A57-$C57)/59,2)),"- - DONE - -")))</f>
        <v>- - DONE - -</v>
      </c>
      <c r="K57" s="126" t="str">
        <f t="shared" si="11"/>
        <v>- - DONE - -</v>
      </c>
      <c r="L57" s="126" t="str">
        <f t="shared" si="11"/>
        <v>- - DONE - -</v>
      </c>
      <c r="M57" s="126" t="str">
        <f t="shared" si="11"/>
        <v>- - DONE - -</v>
      </c>
      <c r="N57" s="126" t="str">
        <f t="shared" si="11"/>
        <v>- - DONE - -</v>
      </c>
      <c r="O57" s="126" t="str">
        <f t="shared" si="11"/>
        <v>- - DONE - -</v>
      </c>
      <c r="P57" s="126" t="str">
        <f t="shared" si="11"/>
        <v>- - DONE - -</v>
      </c>
      <c r="Q57" s="126" t="str">
        <f t="shared" si="11"/>
        <v>- - DONE - -</v>
      </c>
      <c r="R57" s="126" t="str">
        <f t="shared" si="11"/>
        <v>- - DONE - -</v>
      </c>
      <c r="S57" s="126" t="str">
        <f t="shared" si="11"/>
        <v>- - DONE - -</v>
      </c>
      <c r="T57" s="126" t="str">
        <f t="shared" si="11"/>
        <v>- - DONE - -</v>
      </c>
      <c r="U57" s="126" t="str">
        <f t="shared" si="11"/>
        <v>- - DONE - -</v>
      </c>
      <c r="V57" s="125">
        <f t="shared" si="6"/>
        <v>0</v>
      </c>
      <c r="W57" s="124">
        <f t="shared" si="7"/>
        <v>3.2969182939268649E-12</v>
      </c>
      <c r="X57" s="353"/>
      <c r="Y57" s="226"/>
      <c r="Z57" s="226"/>
      <c r="AA57" s="226"/>
      <c r="AB57" s="226"/>
      <c r="AC57" s="226"/>
    </row>
    <row r="58" spans="1:29" s="225" customFormat="1">
      <c r="A58" s="154">
        <v>25329.919999999998</v>
      </c>
      <c r="B58" s="103"/>
      <c r="C58" s="103">
        <f t="shared" si="1"/>
        <v>421.88999999999578</v>
      </c>
      <c r="D58" s="154">
        <v>-0.28000000000054115</v>
      </c>
      <c r="E58" s="129">
        <f t="shared" si="2"/>
        <v>43524</v>
      </c>
      <c r="F58" s="183"/>
      <c r="G58" s="183"/>
      <c r="H58" s="130">
        <f t="shared" si="4"/>
        <v>422.17</v>
      </c>
      <c r="I58" s="361">
        <v>41699</v>
      </c>
      <c r="J58" s="126" t="str">
        <f t="shared" si="11"/>
        <v>- - DONE - -</v>
      </c>
      <c r="K58" s="126" t="str">
        <f t="shared" si="11"/>
        <v>- - DONE - -</v>
      </c>
      <c r="L58" s="126" t="str">
        <f t="shared" si="11"/>
        <v>- - DONE - -</v>
      </c>
      <c r="M58" s="126" t="str">
        <f t="shared" si="11"/>
        <v>- - DONE - -</v>
      </c>
      <c r="N58" s="126" t="str">
        <f t="shared" si="11"/>
        <v>- - DONE - -</v>
      </c>
      <c r="O58" s="126" t="str">
        <f t="shared" si="11"/>
        <v>- - DONE - -</v>
      </c>
      <c r="P58" s="126" t="str">
        <f t="shared" si="11"/>
        <v>- - DONE - -</v>
      </c>
      <c r="Q58" s="126" t="str">
        <f t="shared" si="11"/>
        <v>- - DONE - -</v>
      </c>
      <c r="R58" s="126" t="str">
        <f t="shared" si="11"/>
        <v>- - DONE - -</v>
      </c>
      <c r="S58" s="126" t="str">
        <f t="shared" si="11"/>
        <v>- - DONE - -</v>
      </c>
      <c r="T58" s="126" t="str">
        <f t="shared" si="11"/>
        <v>- - DONE - -</v>
      </c>
      <c r="U58" s="126" t="str">
        <f t="shared" si="11"/>
        <v>- - DONE - -</v>
      </c>
      <c r="V58" s="125">
        <f t="shared" si="6"/>
        <v>0</v>
      </c>
      <c r="W58" s="124">
        <f t="shared" si="7"/>
        <v>-0.28000000000054115</v>
      </c>
      <c r="X58" s="353"/>
      <c r="Y58" s="226"/>
      <c r="Z58" s="226"/>
      <c r="AA58" s="226"/>
      <c r="AB58" s="226"/>
      <c r="AC58" s="226"/>
    </row>
    <row r="59" spans="1:29" s="225" customFormat="1">
      <c r="A59" s="154">
        <v>14772.93</v>
      </c>
      <c r="B59" s="103"/>
      <c r="C59" s="103">
        <f t="shared" si="1"/>
        <v>245.95000000000073</v>
      </c>
      <c r="D59" s="154">
        <v>-0.26999999999691227</v>
      </c>
      <c r="E59" s="129">
        <f t="shared" si="2"/>
        <v>43555</v>
      </c>
      <c r="F59" s="183"/>
      <c r="G59" s="183"/>
      <c r="H59" s="130">
        <f t="shared" si="4"/>
        <v>246.22</v>
      </c>
      <c r="I59" s="361">
        <v>41730</v>
      </c>
      <c r="J59" s="126" t="str">
        <f t="shared" si="11"/>
        <v>- - DONE - -</v>
      </c>
      <c r="K59" s="126" t="str">
        <f t="shared" si="11"/>
        <v>- - DONE - -</v>
      </c>
      <c r="L59" s="126" t="str">
        <f t="shared" si="11"/>
        <v>- - DONE - -</v>
      </c>
      <c r="M59" s="126" t="str">
        <f t="shared" si="11"/>
        <v>- - DONE - -</v>
      </c>
      <c r="N59" s="126" t="str">
        <f t="shared" si="11"/>
        <v>- - DONE - -</v>
      </c>
      <c r="O59" s="126" t="str">
        <f t="shared" si="11"/>
        <v>- - DONE - -</v>
      </c>
      <c r="P59" s="126" t="str">
        <f t="shared" si="11"/>
        <v>- - DONE - -</v>
      </c>
      <c r="Q59" s="126" t="str">
        <f t="shared" si="11"/>
        <v>- - DONE - -</v>
      </c>
      <c r="R59" s="126" t="str">
        <f t="shared" si="11"/>
        <v>- - DONE - -</v>
      </c>
      <c r="S59" s="126" t="str">
        <f t="shared" si="11"/>
        <v>- - DONE - -</v>
      </c>
      <c r="T59" s="126" t="str">
        <f t="shared" si="11"/>
        <v>- - DONE - -</v>
      </c>
      <c r="U59" s="126" t="str">
        <f t="shared" si="11"/>
        <v>- - DONE - -</v>
      </c>
      <c r="V59" s="125">
        <f t="shared" si="6"/>
        <v>0</v>
      </c>
      <c r="W59" s="124">
        <f t="shared" si="7"/>
        <v>-0.26999999999691227</v>
      </c>
      <c r="X59" s="353"/>
      <c r="Y59" s="226"/>
      <c r="Z59" s="226"/>
      <c r="AA59" s="226"/>
      <c r="AB59" s="226"/>
      <c r="AC59" s="226"/>
    </row>
    <row r="60" spans="1:29" s="225" customFormat="1">
      <c r="A60" s="154">
        <v>16079.25</v>
      </c>
      <c r="B60" s="103"/>
      <c r="C60" s="103">
        <f t="shared" si="1"/>
        <v>267.84000000000015</v>
      </c>
      <c r="D60" s="154">
        <v>-0.14999999999690772</v>
      </c>
      <c r="E60" s="129">
        <f t="shared" si="2"/>
        <v>43585</v>
      </c>
      <c r="F60" s="183"/>
      <c r="G60" s="183"/>
      <c r="H60" s="130">
        <f t="shared" si="4"/>
        <v>267.99</v>
      </c>
      <c r="I60" s="361">
        <v>41760</v>
      </c>
      <c r="J60" s="126" t="str">
        <f t="shared" si="11"/>
        <v>- - DONE - -</v>
      </c>
      <c r="K60" s="126" t="str">
        <f t="shared" si="11"/>
        <v>- - DONE - -</v>
      </c>
      <c r="L60" s="126" t="str">
        <f t="shared" si="11"/>
        <v>- - DONE - -</v>
      </c>
      <c r="M60" s="126" t="str">
        <f t="shared" si="11"/>
        <v>- - DONE - -</v>
      </c>
      <c r="N60" s="126" t="str">
        <f t="shared" si="11"/>
        <v>- - DONE - -</v>
      </c>
      <c r="O60" s="126" t="str">
        <f t="shared" si="11"/>
        <v>- - DONE - -</v>
      </c>
      <c r="P60" s="126" t="str">
        <f t="shared" si="11"/>
        <v>- - DONE - -</v>
      </c>
      <c r="Q60" s="126" t="str">
        <f t="shared" si="11"/>
        <v>- - DONE - -</v>
      </c>
      <c r="R60" s="126" t="str">
        <f t="shared" si="11"/>
        <v>- - DONE - -</v>
      </c>
      <c r="S60" s="126" t="str">
        <f t="shared" si="11"/>
        <v>- - DONE - -</v>
      </c>
      <c r="T60" s="126" t="str">
        <f t="shared" si="11"/>
        <v>- - DONE - -</v>
      </c>
      <c r="U60" s="126" t="str">
        <f t="shared" si="11"/>
        <v>- - DONE - -</v>
      </c>
      <c r="V60" s="125">
        <f t="shared" si="6"/>
        <v>0</v>
      </c>
      <c r="W60" s="124">
        <f t="shared" si="7"/>
        <v>-0.14999999999690772</v>
      </c>
      <c r="X60" s="353"/>
      <c r="Y60" s="226"/>
      <c r="Z60" s="226"/>
      <c r="AA60" s="226"/>
      <c r="AB60" s="226"/>
      <c r="AC60" s="226"/>
    </row>
    <row r="61" spans="1:29" s="225" customFormat="1">
      <c r="A61" s="154">
        <v>11754.57</v>
      </c>
      <c r="B61" s="103"/>
      <c r="C61" s="103">
        <f t="shared" ref="C61:C67" si="12">+A61-ROUND(A61/60,2)*59</f>
        <v>195.8799999999992</v>
      </c>
      <c r="D61" s="154">
        <v>-2.9999999999517968E-2</v>
      </c>
      <c r="E61" s="129">
        <f t="shared" ref="E61:E72" si="13">+I61+1825</f>
        <v>43616</v>
      </c>
      <c r="F61" s="183"/>
      <c r="G61" s="183"/>
      <c r="H61" s="130">
        <f t="shared" ref="H61:H72" si="14">+ROUND((+A61-C61)/59,2)</f>
        <v>195.91</v>
      </c>
      <c r="I61" s="361">
        <v>41791</v>
      </c>
      <c r="J61" s="126" t="str">
        <f t="shared" si="11"/>
        <v>- - DONE - -</v>
      </c>
      <c r="K61" s="126" t="str">
        <f t="shared" si="11"/>
        <v>- - DONE - -</v>
      </c>
      <c r="L61" s="126" t="str">
        <f t="shared" si="11"/>
        <v>- - DONE - -</v>
      </c>
      <c r="M61" s="126" t="str">
        <f t="shared" si="11"/>
        <v>- - DONE - -</v>
      </c>
      <c r="N61" s="126" t="str">
        <f t="shared" si="11"/>
        <v>- - DONE - -</v>
      </c>
      <c r="O61" s="126" t="str">
        <f t="shared" si="11"/>
        <v>- - DONE - -</v>
      </c>
      <c r="P61" s="126" t="str">
        <f t="shared" si="11"/>
        <v>- - DONE - -</v>
      </c>
      <c r="Q61" s="126" t="str">
        <f t="shared" si="11"/>
        <v>- - DONE - -</v>
      </c>
      <c r="R61" s="126" t="str">
        <f t="shared" si="11"/>
        <v>- - DONE - -</v>
      </c>
      <c r="S61" s="126" t="str">
        <f t="shared" si="11"/>
        <v>- - DONE - -</v>
      </c>
      <c r="T61" s="126" t="str">
        <f t="shared" si="11"/>
        <v>- - DONE - -</v>
      </c>
      <c r="U61" s="126" t="str">
        <f t="shared" si="11"/>
        <v>- - DONE - -</v>
      </c>
      <c r="V61" s="125">
        <f t="shared" ref="V61:V72" si="15">SUM(J61:U61)</f>
        <v>0</v>
      </c>
      <c r="W61" s="124">
        <f t="shared" si="7"/>
        <v>-2.9999999999517968E-2</v>
      </c>
      <c r="X61" s="353"/>
      <c r="Y61" s="226"/>
      <c r="Z61" s="226"/>
      <c r="AA61" s="226"/>
      <c r="AB61" s="226"/>
      <c r="AC61" s="226"/>
    </row>
    <row r="62" spans="1:29" s="225" customFormat="1">
      <c r="A62" s="154">
        <v>29711.88</v>
      </c>
      <c r="B62" s="103"/>
      <c r="C62" s="103">
        <f t="shared" si="12"/>
        <v>495.08000000000175</v>
      </c>
      <c r="D62" s="154">
        <v>-0.11999999999170541</v>
      </c>
      <c r="E62" s="129">
        <f t="shared" si="13"/>
        <v>43646</v>
      </c>
      <c r="F62" s="183"/>
      <c r="G62" s="183"/>
      <c r="H62" s="130">
        <f t="shared" si="14"/>
        <v>495.2</v>
      </c>
      <c r="I62" s="361">
        <v>41821</v>
      </c>
      <c r="J62" s="126" t="str">
        <f t="shared" si="11"/>
        <v>- - DONE - -</v>
      </c>
      <c r="K62" s="126" t="str">
        <f t="shared" si="11"/>
        <v>- - DONE - -</v>
      </c>
      <c r="L62" s="126" t="str">
        <f t="shared" si="11"/>
        <v>- - DONE - -</v>
      </c>
      <c r="M62" s="126" t="str">
        <f t="shared" si="11"/>
        <v>- - DONE - -</v>
      </c>
      <c r="N62" s="126" t="str">
        <f t="shared" si="11"/>
        <v>- - DONE - -</v>
      </c>
      <c r="O62" s="126" t="str">
        <f t="shared" si="11"/>
        <v>- - DONE - -</v>
      </c>
      <c r="P62" s="126" t="str">
        <f t="shared" si="11"/>
        <v>- - DONE - -</v>
      </c>
      <c r="Q62" s="126" t="str">
        <f t="shared" si="11"/>
        <v>- - DONE - -</v>
      </c>
      <c r="R62" s="126" t="str">
        <f t="shared" si="11"/>
        <v>- - DONE - -</v>
      </c>
      <c r="S62" s="126" t="str">
        <f t="shared" si="11"/>
        <v>- - DONE - -</v>
      </c>
      <c r="T62" s="126" t="str">
        <f t="shared" si="11"/>
        <v>- - DONE - -</v>
      </c>
      <c r="U62" s="126" t="str">
        <f t="shared" si="11"/>
        <v>- - DONE - -</v>
      </c>
      <c r="V62" s="125">
        <f t="shared" si="15"/>
        <v>0</v>
      </c>
      <c r="W62" s="124">
        <f t="shared" si="7"/>
        <v>-0.11999999999170541</v>
      </c>
      <c r="X62" s="353"/>
      <c r="Y62" s="226"/>
      <c r="Z62" s="226"/>
      <c r="AA62" s="226"/>
      <c r="AB62" s="226"/>
      <c r="AC62" s="226"/>
    </row>
    <row r="63" spans="1:29" s="225" customFormat="1">
      <c r="A63" s="154">
        <v>22427.119999999999</v>
      </c>
      <c r="B63" s="103"/>
      <c r="C63" s="103">
        <f t="shared" si="12"/>
        <v>373.5099999999984</v>
      </c>
      <c r="D63" s="154">
        <v>-0.28000000000201908</v>
      </c>
      <c r="E63" s="129">
        <f t="shared" si="13"/>
        <v>43677</v>
      </c>
      <c r="F63" s="183"/>
      <c r="G63" s="183"/>
      <c r="H63" s="130">
        <f t="shared" si="14"/>
        <v>373.79</v>
      </c>
      <c r="I63" s="361">
        <v>41852</v>
      </c>
      <c r="J63" s="126" t="str">
        <f t="shared" si="11"/>
        <v>- - DONE - -</v>
      </c>
      <c r="K63" s="126" t="str">
        <f t="shared" si="11"/>
        <v>- - DONE - -</v>
      </c>
      <c r="L63" s="126" t="str">
        <f t="shared" si="11"/>
        <v>- - DONE - -</v>
      </c>
      <c r="M63" s="126" t="str">
        <f t="shared" si="11"/>
        <v>- - DONE - -</v>
      </c>
      <c r="N63" s="126" t="str">
        <f t="shared" si="11"/>
        <v>- - DONE - -</v>
      </c>
      <c r="O63" s="126" t="str">
        <f t="shared" si="11"/>
        <v>- - DONE - -</v>
      </c>
      <c r="P63" s="126" t="str">
        <f t="shared" si="11"/>
        <v>- - DONE - -</v>
      </c>
      <c r="Q63" s="126" t="str">
        <f t="shared" si="11"/>
        <v>- - DONE - -</v>
      </c>
      <c r="R63" s="126" t="str">
        <f t="shared" si="11"/>
        <v>- - DONE - -</v>
      </c>
      <c r="S63" s="126" t="str">
        <f t="shared" si="11"/>
        <v>- - DONE - -</v>
      </c>
      <c r="T63" s="126" t="str">
        <f t="shared" si="11"/>
        <v>- - DONE - -</v>
      </c>
      <c r="U63" s="126" t="str">
        <f t="shared" si="11"/>
        <v>- - DONE - -</v>
      </c>
      <c r="V63" s="125">
        <f t="shared" si="15"/>
        <v>0</v>
      </c>
      <c r="W63" s="124">
        <f t="shared" si="7"/>
        <v>-0.28000000000201908</v>
      </c>
      <c r="X63" s="353"/>
      <c r="Y63" s="226"/>
      <c r="Z63" s="226"/>
      <c r="AA63" s="226"/>
      <c r="AB63" s="226"/>
      <c r="AC63" s="226"/>
    </row>
    <row r="64" spans="1:29" s="225" customFormat="1">
      <c r="A64" s="154">
        <v>58428.94</v>
      </c>
      <c r="B64" s="103"/>
      <c r="C64" s="103">
        <f t="shared" si="12"/>
        <v>973.55999999999767</v>
      </c>
      <c r="D64" s="154">
        <v>-0.25999999998384737</v>
      </c>
      <c r="E64" s="129">
        <f t="shared" si="13"/>
        <v>43708</v>
      </c>
      <c r="F64" s="183"/>
      <c r="G64" s="183"/>
      <c r="H64" s="130">
        <f t="shared" si="14"/>
        <v>973.82</v>
      </c>
      <c r="I64" s="361">
        <v>41883</v>
      </c>
      <c r="J64" s="126" t="str">
        <f t="shared" si="11"/>
        <v>- - DONE - -</v>
      </c>
      <c r="K64" s="126" t="str">
        <f t="shared" si="11"/>
        <v>- - DONE - -</v>
      </c>
      <c r="L64" s="126" t="str">
        <f t="shared" si="11"/>
        <v>- - DONE - -</v>
      </c>
      <c r="M64" s="126" t="str">
        <f t="shared" si="11"/>
        <v>- - DONE - -</v>
      </c>
      <c r="N64" s="126" t="str">
        <f t="shared" si="11"/>
        <v>- - DONE - -</v>
      </c>
      <c r="O64" s="126" t="str">
        <f t="shared" si="11"/>
        <v>- - DONE - -</v>
      </c>
      <c r="P64" s="126" t="str">
        <f t="shared" si="11"/>
        <v>- - DONE - -</v>
      </c>
      <c r="Q64" s="126" t="str">
        <f t="shared" si="11"/>
        <v>- - DONE - -</v>
      </c>
      <c r="R64" s="126" t="str">
        <f t="shared" si="11"/>
        <v>- - DONE - -</v>
      </c>
      <c r="S64" s="126" t="str">
        <f t="shared" si="11"/>
        <v>- - DONE - -</v>
      </c>
      <c r="T64" s="126" t="str">
        <f t="shared" si="11"/>
        <v>- - DONE - -</v>
      </c>
      <c r="U64" s="126" t="str">
        <f t="shared" si="11"/>
        <v>- - DONE - -</v>
      </c>
      <c r="V64" s="125">
        <f t="shared" si="15"/>
        <v>0</v>
      </c>
      <c r="W64" s="124">
        <f t="shared" si="7"/>
        <v>-0.25999999998384737</v>
      </c>
      <c r="X64" s="353"/>
      <c r="Y64" s="226"/>
      <c r="Z64" s="226"/>
      <c r="AA64" s="226"/>
      <c r="AB64" s="226"/>
      <c r="AC64" s="226"/>
    </row>
    <row r="65" spans="1:29" s="225" customFormat="1">
      <c r="A65" s="154">
        <v>48559.9</v>
      </c>
      <c r="B65" s="103"/>
      <c r="C65" s="103">
        <f t="shared" si="12"/>
        <v>809.43000000000029</v>
      </c>
      <c r="D65" s="154">
        <v>0.10000000000491127</v>
      </c>
      <c r="E65" s="129">
        <f t="shared" si="13"/>
        <v>43738</v>
      </c>
      <c r="F65" s="183"/>
      <c r="G65" s="183"/>
      <c r="H65" s="130">
        <f t="shared" si="14"/>
        <v>809.33</v>
      </c>
      <c r="I65" s="361">
        <v>41913</v>
      </c>
      <c r="J65" s="126" t="str">
        <f t="shared" si="11"/>
        <v>- - DONE - -</v>
      </c>
      <c r="K65" s="126" t="str">
        <f t="shared" si="11"/>
        <v>- - DONE - -</v>
      </c>
      <c r="L65" s="126" t="str">
        <f t="shared" si="11"/>
        <v>- - DONE - -</v>
      </c>
      <c r="M65" s="126" t="str">
        <f t="shared" si="11"/>
        <v>- - DONE - -</v>
      </c>
      <c r="N65" s="126" t="str">
        <f t="shared" si="11"/>
        <v>- - DONE - -</v>
      </c>
      <c r="O65" s="126" t="str">
        <f t="shared" si="11"/>
        <v>- - DONE - -</v>
      </c>
      <c r="P65" s="126" t="str">
        <f t="shared" si="11"/>
        <v>- - DONE - -</v>
      </c>
      <c r="Q65" s="126" t="str">
        <f t="shared" si="11"/>
        <v>- - DONE - -</v>
      </c>
      <c r="R65" s="126" t="str">
        <f t="shared" si="11"/>
        <v>- - DONE - -</v>
      </c>
      <c r="S65" s="126" t="str">
        <f t="shared" si="11"/>
        <v>- - DONE - -</v>
      </c>
      <c r="T65" s="126" t="str">
        <f t="shared" si="11"/>
        <v>- - DONE - -</v>
      </c>
      <c r="U65" s="126" t="str">
        <f t="shared" si="11"/>
        <v>- - DONE - -</v>
      </c>
      <c r="V65" s="125">
        <f t="shared" si="15"/>
        <v>0</v>
      </c>
      <c r="W65" s="124">
        <f t="shared" si="7"/>
        <v>0.10000000000491127</v>
      </c>
      <c r="X65" s="353"/>
      <c r="Y65" s="226"/>
      <c r="Z65" s="226"/>
      <c r="AA65" s="226"/>
      <c r="AB65" s="226"/>
      <c r="AC65" s="226"/>
    </row>
    <row r="66" spans="1:29" s="225" customFormat="1">
      <c r="A66" s="154">
        <v>27144.93</v>
      </c>
      <c r="B66" s="103"/>
      <c r="C66" s="103">
        <f t="shared" si="12"/>
        <v>452.14999999999782</v>
      </c>
      <c r="D66" s="154">
        <v>-0.27000000000225555</v>
      </c>
      <c r="E66" s="129">
        <f t="shared" si="13"/>
        <v>43769</v>
      </c>
      <c r="F66" s="183"/>
      <c r="G66" s="183"/>
      <c r="H66" s="130">
        <f t="shared" si="14"/>
        <v>452.42</v>
      </c>
      <c r="I66" s="361">
        <v>41944</v>
      </c>
      <c r="J66" s="126" t="str">
        <f t="shared" si="11"/>
        <v>- - DONE - -</v>
      </c>
      <c r="K66" s="126" t="str">
        <f t="shared" si="11"/>
        <v>- - DONE - -</v>
      </c>
      <c r="L66" s="126" t="str">
        <f t="shared" si="11"/>
        <v>- - DONE - -</v>
      </c>
      <c r="M66" s="126" t="str">
        <f t="shared" si="11"/>
        <v>- - DONE - -</v>
      </c>
      <c r="N66" s="126" t="str">
        <f t="shared" si="11"/>
        <v>- - DONE - -</v>
      </c>
      <c r="O66" s="126" t="str">
        <f t="shared" si="11"/>
        <v>- - DONE - -</v>
      </c>
      <c r="P66" s="126" t="str">
        <f t="shared" si="11"/>
        <v>- - DONE - -</v>
      </c>
      <c r="Q66" s="126" t="str">
        <f t="shared" si="11"/>
        <v>- - DONE - -</v>
      </c>
      <c r="R66" s="126" t="str">
        <f t="shared" si="11"/>
        <v>- - DONE - -</v>
      </c>
      <c r="S66" s="126" t="str">
        <f t="shared" si="11"/>
        <v>- - DONE - -</v>
      </c>
      <c r="T66" s="126" t="str">
        <f t="shared" si="11"/>
        <v>- - DONE - -</v>
      </c>
      <c r="U66" s="126" t="str">
        <f t="shared" si="11"/>
        <v>- - DONE - -</v>
      </c>
      <c r="V66" s="125">
        <f t="shared" si="15"/>
        <v>0</v>
      </c>
      <c r="W66" s="124">
        <f t="shared" si="7"/>
        <v>-0.27000000000225555</v>
      </c>
      <c r="X66" s="353"/>
      <c r="Y66" s="226"/>
      <c r="Z66" s="226"/>
      <c r="AA66" s="226"/>
      <c r="AB66" s="226"/>
      <c r="AC66" s="226"/>
    </row>
    <row r="67" spans="1:29" s="225" customFormat="1">
      <c r="A67" s="155">
        <v>29258.98</v>
      </c>
      <c r="B67" s="135"/>
      <c r="C67" s="135">
        <f t="shared" si="12"/>
        <v>487.63000000000102</v>
      </c>
      <c r="D67" s="155">
        <v>-1.9999999994979589E-2</v>
      </c>
      <c r="E67" s="133">
        <f t="shared" si="13"/>
        <v>43799</v>
      </c>
      <c r="F67" s="184"/>
      <c r="G67" s="184"/>
      <c r="H67" s="134">
        <f t="shared" si="14"/>
        <v>487.65</v>
      </c>
      <c r="I67" s="363">
        <v>41974</v>
      </c>
      <c r="J67" s="132" t="str">
        <f t="shared" si="11"/>
        <v>- - DONE - -</v>
      </c>
      <c r="K67" s="132" t="str">
        <f t="shared" si="11"/>
        <v>- - DONE - -</v>
      </c>
      <c r="L67" s="132" t="str">
        <f t="shared" si="11"/>
        <v>- - DONE - -</v>
      </c>
      <c r="M67" s="132" t="str">
        <f t="shared" si="11"/>
        <v>- - DONE - -</v>
      </c>
      <c r="N67" s="132" t="str">
        <f t="shared" si="11"/>
        <v>- - DONE - -</v>
      </c>
      <c r="O67" s="132" t="str">
        <f t="shared" si="11"/>
        <v>- - DONE - -</v>
      </c>
      <c r="P67" s="132" t="str">
        <f t="shared" si="11"/>
        <v>- - DONE - -</v>
      </c>
      <c r="Q67" s="132" t="str">
        <f t="shared" si="11"/>
        <v>- - DONE - -</v>
      </c>
      <c r="R67" s="132" t="str">
        <f t="shared" si="11"/>
        <v>- - DONE - -</v>
      </c>
      <c r="S67" s="132" t="str">
        <f t="shared" si="11"/>
        <v>- - DONE - -</v>
      </c>
      <c r="T67" s="132" t="str">
        <f t="shared" si="11"/>
        <v>- - DONE - -</v>
      </c>
      <c r="U67" s="132" t="str">
        <f t="shared" si="11"/>
        <v>- - DONE - -</v>
      </c>
      <c r="V67" s="131">
        <f t="shared" si="15"/>
        <v>0</v>
      </c>
      <c r="W67" s="151">
        <f t="shared" si="7"/>
        <v>-1.9999999994979589E-2</v>
      </c>
      <c r="X67" s="353"/>
      <c r="Y67" s="226"/>
      <c r="Z67" s="226"/>
      <c r="AA67" s="226"/>
      <c r="AB67" s="226"/>
      <c r="AC67" s="226"/>
    </row>
    <row r="68" spans="1:29" s="225" customFormat="1">
      <c r="A68" s="205">
        <v>20933.27</v>
      </c>
      <c r="B68" s="205"/>
      <c r="C68" s="205">
        <v>348.76000000000204</v>
      </c>
      <c r="D68" s="206">
        <v>0</v>
      </c>
      <c r="E68" s="207">
        <f>+I68+1825</f>
        <v>43830</v>
      </c>
      <c r="F68" s="208"/>
      <c r="G68" s="208"/>
      <c r="H68" s="209">
        <f>+ROUND((+A68-C68)/59,2)</f>
        <v>348.89</v>
      </c>
      <c r="I68" s="364">
        <v>42005</v>
      </c>
      <c r="J68" s="210" t="str">
        <f t="shared" ref="J68:J79" si="16">IF(J$7&lt;$I68,"",IF(J$7=$I68,+$C68,IF(J$7&lt;=$E68,+(ROUND(($A68-$C68)/59,2)),"- - DONE - -")))</f>
        <v>- - DONE - -</v>
      </c>
      <c r="K68" s="210" t="str">
        <f t="shared" si="11"/>
        <v>- - DONE - -</v>
      </c>
      <c r="L68" s="210" t="str">
        <f t="shared" si="11"/>
        <v>- - DONE - -</v>
      </c>
      <c r="M68" s="210" t="str">
        <f t="shared" si="11"/>
        <v>- - DONE - -</v>
      </c>
      <c r="N68" s="210" t="str">
        <f t="shared" si="11"/>
        <v>- - DONE - -</v>
      </c>
      <c r="O68" s="210" t="str">
        <f t="shared" si="11"/>
        <v>- - DONE - -</v>
      </c>
      <c r="P68" s="210" t="str">
        <f t="shared" si="11"/>
        <v>- - DONE - -</v>
      </c>
      <c r="Q68" s="210" t="str">
        <f t="shared" si="11"/>
        <v>- - DONE - -</v>
      </c>
      <c r="R68" s="210" t="str">
        <f t="shared" si="11"/>
        <v>- - DONE - -</v>
      </c>
      <c r="S68" s="210" t="str">
        <f t="shared" si="11"/>
        <v>- - DONE - -</v>
      </c>
      <c r="T68" s="210" t="str">
        <f t="shared" si="11"/>
        <v>- - DONE - -</v>
      </c>
      <c r="U68" s="210" t="str">
        <f t="shared" si="11"/>
        <v>- - DONE - -</v>
      </c>
      <c r="V68" s="211">
        <f t="shared" si="15"/>
        <v>0</v>
      </c>
      <c r="W68" s="259">
        <f t="shared" si="7"/>
        <v>0</v>
      </c>
      <c r="X68" s="353"/>
      <c r="Y68" s="226"/>
      <c r="Z68" s="226"/>
      <c r="AA68" s="226"/>
      <c r="AB68" s="226"/>
      <c r="AC68" s="226"/>
    </row>
    <row r="69" spans="1:29" s="225" customFormat="1">
      <c r="A69" s="205">
        <v>17446.160000000003</v>
      </c>
      <c r="B69" s="205"/>
      <c r="C69" s="205">
        <v>290.7300000000032</v>
      </c>
      <c r="D69" s="206">
        <v>4.5474735088646412E-13</v>
      </c>
      <c r="E69" s="207">
        <f t="shared" si="13"/>
        <v>43861</v>
      </c>
      <c r="F69" s="208"/>
      <c r="G69" s="208"/>
      <c r="H69" s="209">
        <f>+ROUND((+A69-C69)/59,2)</f>
        <v>290.77</v>
      </c>
      <c r="I69" s="364">
        <v>42036</v>
      </c>
      <c r="J69" s="212" t="str">
        <f t="shared" si="16"/>
        <v>- - DONE - -</v>
      </c>
      <c r="K69" s="212" t="str">
        <f>IF(K$7&lt;$I69,"",IF(K$7=$I69,+$C69,IF(K$7&lt;=$E69,+(ROUND(($A69-$C69)/59,2)),"- - DONE - -")))</f>
        <v>- - DONE - -</v>
      </c>
      <c r="L69" s="212" t="str">
        <f t="shared" si="11"/>
        <v>- - DONE - -</v>
      </c>
      <c r="M69" s="212" t="str">
        <f t="shared" si="11"/>
        <v>- - DONE - -</v>
      </c>
      <c r="N69" s="212" t="str">
        <f t="shared" si="11"/>
        <v>- - DONE - -</v>
      </c>
      <c r="O69" s="212" t="str">
        <f t="shared" si="11"/>
        <v>- - DONE - -</v>
      </c>
      <c r="P69" s="212" t="str">
        <f t="shared" si="11"/>
        <v>- - DONE - -</v>
      </c>
      <c r="Q69" s="212" t="str">
        <f t="shared" si="11"/>
        <v>- - DONE - -</v>
      </c>
      <c r="R69" s="212" t="str">
        <f t="shared" si="11"/>
        <v>- - DONE - -</v>
      </c>
      <c r="S69" s="212" t="str">
        <f t="shared" si="11"/>
        <v>- - DONE - -</v>
      </c>
      <c r="T69" s="212" t="str">
        <f t="shared" si="11"/>
        <v>- - DONE - -</v>
      </c>
      <c r="U69" s="212" t="str">
        <f t="shared" si="11"/>
        <v>- - DONE - -</v>
      </c>
      <c r="V69" s="211">
        <f t="shared" si="15"/>
        <v>0</v>
      </c>
      <c r="W69" s="259">
        <f t="shared" si="7"/>
        <v>4.5474735088646412E-13</v>
      </c>
      <c r="X69" s="353"/>
      <c r="Y69" s="226"/>
      <c r="Z69" s="226"/>
      <c r="AA69" s="226"/>
      <c r="AB69" s="226"/>
      <c r="AC69" s="226"/>
    </row>
    <row r="70" spans="1:29" s="225" customFormat="1">
      <c r="A70" s="205">
        <v>27769.74</v>
      </c>
      <c r="B70" s="205"/>
      <c r="C70" s="205">
        <v>462.77000000000407</v>
      </c>
      <c r="D70" s="206">
        <v>-5.9999999995966391E-2</v>
      </c>
      <c r="E70" s="207">
        <f t="shared" si="13"/>
        <v>43889</v>
      </c>
      <c r="F70" s="208"/>
      <c r="G70" s="208"/>
      <c r="H70" s="209">
        <f>+ROUND((+A70-C70)/59,2)</f>
        <v>462.83</v>
      </c>
      <c r="I70" s="364">
        <v>42064</v>
      </c>
      <c r="J70" s="212" t="str">
        <f t="shared" si="16"/>
        <v>- - DONE - -</v>
      </c>
      <c r="K70" s="212" t="str">
        <f>IF(K$7&lt;$I70,"",IF(K$7=$I70,+$C70,IF(K$7&lt;=$E70,+(ROUND(($A70-$C70)/59,2)),"- - DONE - -")))</f>
        <v>- - DONE - -</v>
      </c>
      <c r="L70" s="212" t="str">
        <f t="shared" ref="K70:U85" si="17">IF(L$7&lt;$I70,"",IF(L$7=$I70,+$C70,IF(L$7&lt;=$E70,+(ROUND(($A70-$C70)/59,2)),"- - DONE - -")))</f>
        <v>- - DONE - -</v>
      </c>
      <c r="M70" s="212" t="str">
        <f t="shared" si="17"/>
        <v>- - DONE - -</v>
      </c>
      <c r="N70" s="212" t="str">
        <f t="shared" si="17"/>
        <v>- - DONE - -</v>
      </c>
      <c r="O70" s="212" t="str">
        <f t="shared" si="17"/>
        <v>- - DONE - -</v>
      </c>
      <c r="P70" s="212" t="str">
        <f t="shared" si="17"/>
        <v>- - DONE - -</v>
      </c>
      <c r="Q70" s="212" t="str">
        <f t="shared" si="17"/>
        <v>- - DONE - -</v>
      </c>
      <c r="R70" s="212" t="str">
        <f t="shared" si="17"/>
        <v>- - DONE - -</v>
      </c>
      <c r="S70" s="212" t="str">
        <f t="shared" si="17"/>
        <v>- - DONE - -</v>
      </c>
      <c r="T70" s="212" t="str">
        <f t="shared" si="17"/>
        <v>- - DONE - -</v>
      </c>
      <c r="U70" s="212" t="str">
        <f t="shared" si="17"/>
        <v>- - DONE - -</v>
      </c>
      <c r="V70" s="211">
        <f t="shared" si="15"/>
        <v>0</v>
      </c>
      <c r="W70" s="259">
        <f t="shared" si="7"/>
        <v>-5.9999999995966391E-2</v>
      </c>
      <c r="X70" s="353"/>
      <c r="Y70" s="226"/>
      <c r="Z70" s="226"/>
      <c r="AA70" s="226"/>
      <c r="AB70" s="226"/>
      <c r="AC70" s="226"/>
    </row>
    <row r="71" spans="1:29" s="225" customFormat="1">
      <c r="A71" s="205">
        <v>25195.07</v>
      </c>
      <c r="B71" s="205"/>
      <c r="C71" s="205">
        <v>419.78999999999724</v>
      </c>
      <c r="D71" s="206">
        <v>-0.13000000000079126</v>
      </c>
      <c r="E71" s="207">
        <f t="shared" si="13"/>
        <v>43920</v>
      </c>
      <c r="F71" s="208"/>
      <c r="G71" s="208"/>
      <c r="H71" s="209">
        <f>+ROUND((+A71-C71)/59,2)</f>
        <v>419.92</v>
      </c>
      <c r="I71" s="364">
        <v>42095</v>
      </c>
      <c r="J71" s="212" t="str">
        <f t="shared" si="16"/>
        <v>- - DONE - -</v>
      </c>
      <c r="K71" s="212" t="str">
        <f t="shared" si="17"/>
        <v>- - DONE - -</v>
      </c>
      <c r="L71" s="212" t="str">
        <f t="shared" si="17"/>
        <v>- - DONE - -</v>
      </c>
      <c r="M71" s="212" t="str">
        <f t="shared" si="17"/>
        <v>- - DONE - -</v>
      </c>
      <c r="N71" s="212" t="str">
        <f t="shared" si="17"/>
        <v>- - DONE - -</v>
      </c>
      <c r="O71" s="212" t="str">
        <f t="shared" si="17"/>
        <v>- - DONE - -</v>
      </c>
      <c r="P71" s="212" t="str">
        <f t="shared" si="17"/>
        <v>- - DONE - -</v>
      </c>
      <c r="Q71" s="212" t="str">
        <f t="shared" si="17"/>
        <v>- - DONE - -</v>
      </c>
      <c r="R71" s="212" t="str">
        <f t="shared" si="17"/>
        <v>- - DONE - -</v>
      </c>
      <c r="S71" s="212" t="str">
        <f t="shared" si="17"/>
        <v>- - DONE - -</v>
      </c>
      <c r="T71" s="212" t="str">
        <f t="shared" si="17"/>
        <v>- - DONE - -</v>
      </c>
      <c r="U71" s="212" t="str">
        <f t="shared" si="17"/>
        <v>- - DONE - -</v>
      </c>
      <c r="V71" s="211">
        <f t="shared" si="15"/>
        <v>0</v>
      </c>
      <c r="W71" s="259">
        <f t="shared" si="7"/>
        <v>-0.13000000000079126</v>
      </c>
      <c r="X71" s="353"/>
      <c r="Y71" s="226"/>
      <c r="Z71" s="226"/>
      <c r="AA71" s="226"/>
      <c r="AB71" s="226"/>
      <c r="AC71" s="226"/>
    </row>
    <row r="72" spans="1:29" s="225" customFormat="1">
      <c r="A72" s="205">
        <v>50142.76</v>
      </c>
      <c r="B72" s="205"/>
      <c r="C72" s="205">
        <v>835.87000000000262</v>
      </c>
      <c r="D72" s="206">
        <v>0.1599999999962165</v>
      </c>
      <c r="E72" s="207">
        <f t="shared" si="13"/>
        <v>43950</v>
      </c>
      <c r="F72" s="208"/>
      <c r="G72" s="208"/>
      <c r="H72" s="209">
        <f t="shared" si="14"/>
        <v>835.71</v>
      </c>
      <c r="I72" s="364">
        <v>42125</v>
      </c>
      <c r="J72" s="212" t="str">
        <f t="shared" si="16"/>
        <v>- - DONE - -</v>
      </c>
      <c r="K72" s="212" t="str">
        <f t="shared" si="17"/>
        <v>- - DONE - -</v>
      </c>
      <c r="L72" s="212" t="str">
        <f t="shared" si="17"/>
        <v>- - DONE - -</v>
      </c>
      <c r="M72" s="212" t="str">
        <f t="shared" si="17"/>
        <v>- - DONE - -</v>
      </c>
      <c r="N72" s="212" t="str">
        <f t="shared" si="17"/>
        <v>- - DONE - -</v>
      </c>
      <c r="O72" s="212" t="str">
        <f t="shared" si="17"/>
        <v>- - DONE - -</v>
      </c>
      <c r="P72" s="212" t="str">
        <f t="shared" si="17"/>
        <v>- - DONE - -</v>
      </c>
      <c r="Q72" s="212" t="str">
        <f t="shared" si="17"/>
        <v>- - DONE - -</v>
      </c>
      <c r="R72" s="212" t="str">
        <f t="shared" si="17"/>
        <v>- - DONE - -</v>
      </c>
      <c r="S72" s="212" t="str">
        <f t="shared" si="17"/>
        <v>- - DONE - -</v>
      </c>
      <c r="T72" s="212" t="str">
        <f t="shared" si="17"/>
        <v>- - DONE - -</v>
      </c>
      <c r="U72" s="212" t="str">
        <f t="shared" si="17"/>
        <v>- - DONE - -</v>
      </c>
      <c r="V72" s="211">
        <f t="shared" si="15"/>
        <v>0</v>
      </c>
      <c r="W72" s="259">
        <f t="shared" si="7"/>
        <v>0.1599999999962165</v>
      </c>
      <c r="X72" s="353"/>
      <c r="Y72" s="226"/>
      <c r="Z72" s="226"/>
      <c r="AA72" s="226"/>
      <c r="AB72" s="226"/>
      <c r="AC72" s="226"/>
    </row>
    <row r="73" spans="1:29" s="225" customFormat="1">
      <c r="A73" s="205">
        <v>16129.669999999998</v>
      </c>
      <c r="B73" s="205"/>
      <c r="C73" s="205">
        <v>268.69999999999891</v>
      </c>
      <c r="D73" s="206">
        <v>-0.12999999999806278</v>
      </c>
      <c r="E73" s="207">
        <f t="shared" ref="E73:E79" si="18">+I73+1825</f>
        <v>43981</v>
      </c>
      <c r="F73" s="208"/>
      <c r="G73" s="208"/>
      <c r="H73" s="209">
        <f t="shared" ref="H73:H79" si="19">+ROUND((+A73-C73)/59,2)</f>
        <v>268.83</v>
      </c>
      <c r="I73" s="364">
        <v>42156</v>
      </c>
      <c r="J73" s="212" t="str">
        <f t="shared" si="16"/>
        <v>- - DONE - -</v>
      </c>
      <c r="K73" s="212" t="str">
        <f t="shared" si="17"/>
        <v>- - DONE - -</v>
      </c>
      <c r="L73" s="212" t="str">
        <f t="shared" si="17"/>
        <v>- - DONE - -</v>
      </c>
      <c r="M73" s="212" t="str">
        <f t="shared" si="17"/>
        <v>- - DONE - -</v>
      </c>
      <c r="N73" s="212" t="str">
        <f t="shared" si="17"/>
        <v>- - DONE - -</v>
      </c>
      <c r="O73" s="212" t="str">
        <f t="shared" si="17"/>
        <v>- - DONE - -</v>
      </c>
      <c r="P73" s="212" t="str">
        <f t="shared" si="17"/>
        <v>- - DONE - -</v>
      </c>
      <c r="Q73" s="212" t="str">
        <f t="shared" si="17"/>
        <v>- - DONE - -</v>
      </c>
      <c r="R73" s="212" t="str">
        <f t="shared" si="17"/>
        <v>- - DONE - -</v>
      </c>
      <c r="S73" s="212" t="str">
        <f t="shared" si="17"/>
        <v>- - DONE - -</v>
      </c>
      <c r="T73" s="212" t="str">
        <f t="shared" si="17"/>
        <v>- - DONE - -</v>
      </c>
      <c r="U73" s="212" t="str">
        <f t="shared" si="17"/>
        <v>- - DONE - -</v>
      </c>
      <c r="V73" s="211">
        <f t="shared" ref="V73:V93" si="20">SUM(J73:U73)</f>
        <v>0</v>
      </c>
      <c r="W73" s="259">
        <f t="shared" ref="W73:W128" si="21">D73-V73</f>
        <v>-0.12999999999806278</v>
      </c>
      <c r="X73" s="353"/>
      <c r="Y73" s="226"/>
      <c r="Z73" s="226"/>
      <c r="AA73" s="226"/>
      <c r="AB73" s="226"/>
      <c r="AC73" s="226"/>
    </row>
    <row r="74" spans="1:29" s="225" customFormat="1">
      <c r="A74" s="205">
        <v>19312.47</v>
      </c>
      <c r="B74" s="205"/>
      <c r="C74" s="205">
        <v>322.13999999999942</v>
      </c>
      <c r="D74" s="206">
        <v>0.27000000000498403</v>
      </c>
      <c r="E74" s="207">
        <f t="shared" si="18"/>
        <v>44011</v>
      </c>
      <c r="F74" s="208"/>
      <c r="G74" s="208"/>
      <c r="H74" s="209">
        <f t="shared" si="19"/>
        <v>321.87</v>
      </c>
      <c r="I74" s="364">
        <v>42186</v>
      </c>
      <c r="J74" s="212" t="str">
        <f t="shared" si="16"/>
        <v>- - DONE - -</v>
      </c>
      <c r="K74" s="212" t="str">
        <f t="shared" si="17"/>
        <v>- - DONE - -</v>
      </c>
      <c r="L74" s="212" t="str">
        <f t="shared" si="17"/>
        <v>- - DONE - -</v>
      </c>
      <c r="M74" s="212" t="str">
        <f t="shared" si="17"/>
        <v>- - DONE - -</v>
      </c>
      <c r="N74" s="212" t="str">
        <f t="shared" si="17"/>
        <v>- - DONE - -</v>
      </c>
      <c r="O74" s="212" t="str">
        <f t="shared" si="17"/>
        <v>- - DONE - -</v>
      </c>
      <c r="P74" s="212" t="str">
        <f t="shared" si="17"/>
        <v>- - DONE - -</v>
      </c>
      <c r="Q74" s="212" t="str">
        <f t="shared" si="17"/>
        <v>- - DONE - -</v>
      </c>
      <c r="R74" s="212" t="str">
        <f t="shared" si="17"/>
        <v>- - DONE - -</v>
      </c>
      <c r="S74" s="212" t="str">
        <f t="shared" si="17"/>
        <v>- - DONE - -</v>
      </c>
      <c r="T74" s="212" t="str">
        <f t="shared" si="17"/>
        <v>- - DONE - -</v>
      </c>
      <c r="U74" s="212" t="str">
        <f t="shared" si="17"/>
        <v>- - DONE - -</v>
      </c>
      <c r="V74" s="211">
        <f t="shared" si="20"/>
        <v>0</v>
      </c>
      <c r="W74" s="259">
        <f t="shared" si="21"/>
        <v>0.27000000000498403</v>
      </c>
      <c r="X74" s="353"/>
      <c r="Y74" s="226"/>
      <c r="Z74" s="226"/>
      <c r="AA74" s="226"/>
      <c r="AB74" s="226"/>
      <c r="AC74" s="226"/>
    </row>
    <row r="75" spans="1:29" s="225" customFormat="1">
      <c r="A75" s="205">
        <v>34940.869999999995</v>
      </c>
      <c r="B75" s="205"/>
      <c r="C75" s="205">
        <v>582.21999999999389</v>
      </c>
      <c r="D75" s="206">
        <v>-0.13000000000829459</v>
      </c>
      <c r="E75" s="207">
        <f t="shared" si="18"/>
        <v>44042</v>
      </c>
      <c r="F75" s="208"/>
      <c r="G75" s="208"/>
      <c r="H75" s="209">
        <f t="shared" si="19"/>
        <v>582.35</v>
      </c>
      <c r="I75" s="364">
        <v>42217</v>
      </c>
      <c r="J75" s="212" t="str">
        <f t="shared" si="16"/>
        <v>- - DONE - -</v>
      </c>
      <c r="K75" s="212" t="str">
        <f t="shared" si="17"/>
        <v>- - DONE - -</v>
      </c>
      <c r="L75" s="212" t="str">
        <f t="shared" si="17"/>
        <v>- - DONE - -</v>
      </c>
      <c r="M75" s="212" t="str">
        <f t="shared" si="17"/>
        <v>- - DONE - -</v>
      </c>
      <c r="N75" s="212" t="str">
        <f t="shared" si="17"/>
        <v>- - DONE - -</v>
      </c>
      <c r="O75" s="212" t="str">
        <f t="shared" si="17"/>
        <v>- - DONE - -</v>
      </c>
      <c r="P75" s="212" t="str">
        <f t="shared" si="17"/>
        <v>- - DONE - -</v>
      </c>
      <c r="Q75" s="212" t="str">
        <f t="shared" si="17"/>
        <v>- - DONE - -</v>
      </c>
      <c r="R75" s="212" t="str">
        <f t="shared" si="17"/>
        <v>- - DONE - -</v>
      </c>
      <c r="S75" s="212" t="str">
        <f t="shared" si="17"/>
        <v>- - DONE - -</v>
      </c>
      <c r="T75" s="212" t="str">
        <f t="shared" si="17"/>
        <v>- - DONE - -</v>
      </c>
      <c r="U75" s="212" t="str">
        <f t="shared" si="17"/>
        <v>- - DONE - -</v>
      </c>
      <c r="V75" s="211">
        <f t="shared" si="20"/>
        <v>0</v>
      </c>
      <c r="W75" s="259">
        <f t="shared" si="21"/>
        <v>-0.13000000000829459</v>
      </c>
      <c r="X75" s="353"/>
      <c r="Y75" s="226"/>
      <c r="Z75" s="226"/>
      <c r="AA75" s="226"/>
      <c r="AB75" s="226"/>
      <c r="AC75" s="226"/>
    </row>
    <row r="76" spans="1:29" s="225" customFormat="1">
      <c r="A76" s="205">
        <v>16486.650000000001</v>
      </c>
      <c r="B76" s="205"/>
      <c r="C76" s="205">
        <v>274.63000000000284</v>
      </c>
      <c r="D76" s="206">
        <v>-0.14999999999236024</v>
      </c>
      <c r="E76" s="207">
        <f t="shared" si="18"/>
        <v>44073</v>
      </c>
      <c r="F76" s="208"/>
      <c r="G76" s="208"/>
      <c r="H76" s="209">
        <f t="shared" si="19"/>
        <v>274.77999999999997</v>
      </c>
      <c r="I76" s="364">
        <v>42248</v>
      </c>
      <c r="J76" s="212" t="str">
        <f t="shared" si="16"/>
        <v>- - DONE - -</v>
      </c>
      <c r="K76" s="212" t="str">
        <f t="shared" si="17"/>
        <v>- - DONE - -</v>
      </c>
      <c r="L76" s="212" t="str">
        <f t="shared" si="17"/>
        <v>- - DONE - -</v>
      </c>
      <c r="M76" s="212" t="str">
        <f t="shared" si="17"/>
        <v>- - DONE - -</v>
      </c>
      <c r="N76" s="212" t="str">
        <f t="shared" si="17"/>
        <v>- - DONE - -</v>
      </c>
      <c r="O76" s="212" t="str">
        <f t="shared" si="17"/>
        <v>- - DONE - -</v>
      </c>
      <c r="P76" s="212" t="str">
        <f t="shared" si="17"/>
        <v>- - DONE - -</v>
      </c>
      <c r="Q76" s="212" t="str">
        <f t="shared" si="17"/>
        <v>- - DONE - -</v>
      </c>
      <c r="R76" s="212" t="str">
        <f t="shared" si="17"/>
        <v>- - DONE - -</v>
      </c>
      <c r="S76" s="212" t="str">
        <f t="shared" si="17"/>
        <v>- - DONE - -</v>
      </c>
      <c r="T76" s="212" t="str">
        <f t="shared" si="17"/>
        <v>- - DONE - -</v>
      </c>
      <c r="U76" s="212" t="str">
        <f t="shared" si="17"/>
        <v>- - DONE - -</v>
      </c>
      <c r="V76" s="211">
        <f t="shared" si="20"/>
        <v>0</v>
      </c>
      <c r="W76" s="259">
        <f t="shared" si="21"/>
        <v>-0.14999999999236024</v>
      </c>
      <c r="X76" s="353"/>
      <c r="Y76" s="226"/>
      <c r="Z76" s="226"/>
      <c r="AA76" s="226"/>
      <c r="AB76" s="226"/>
      <c r="AC76" s="226"/>
    </row>
    <row r="77" spans="1:29" s="225" customFormat="1">
      <c r="A77" s="205">
        <v>18214.13</v>
      </c>
      <c r="B77" s="205"/>
      <c r="C77" s="205">
        <v>303.5</v>
      </c>
      <c r="D77" s="206">
        <v>-6.9999999999254214E-2</v>
      </c>
      <c r="E77" s="207">
        <f t="shared" si="18"/>
        <v>44103</v>
      </c>
      <c r="F77" s="208"/>
      <c r="G77" s="208"/>
      <c r="H77" s="209">
        <f t="shared" si="19"/>
        <v>303.57</v>
      </c>
      <c r="I77" s="364">
        <v>42278</v>
      </c>
      <c r="J77" s="212" t="str">
        <f t="shared" si="16"/>
        <v>- - DONE - -</v>
      </c>
      <c r="K77" s="212" t="str">
        <f t="shared" si="17"/>
        <v>- - DONE - -</v>
      </c>
      <c r="L77" s="212" t="str">
        <f t="shared" si="17"/>
        <v>- - DONE - -</v>
      </c>
      <c r="M77" s="212" t="str">
        <f t="shared" si="17"/>
        <v>- - DONE - -</v>
      </c>
      <c r="N77" s="212" t="str">
        <f t="shared" si="17"/>
        <v>- - DONE - -</v>
      </c>
      <c r="O77" s="212" t="str">
        <f t="shared" si="17"/>
        <v>- - DONE - -</v>
      </c>
      <c r="P77" s="212" t="str">
        <f t="shared" si="17"/>
        <v>- - DONE - -</v>
      </c>
      <c r="Q77" s="212" t="str">
        <f t="shared" si="17"/>
        <v>- - DONE - -</v>
      </c>
      <c r="R77" s="212" t="str">
        <f t="shared" si="17"/>
        <v>- - DONE - -</v>
      </c>
      <c r="S77" s="212" t="str">
        <f t="shared" si="17"/>
        <v>- - DONE - -</v>
      </c>
      <c r="T77" s="212" t="str">
        <f t="shared" si="17"/>
        <v>- - DONE - -</v>
      </c>
      <c r="U77" s="212" t="str">
        <f t="shared" si="17"/>
        <v>- - DONE - -</v>
      </c>
      <c r="V77" s="211">
        <f t="shared" si="20"/>
        <v>0</v>
      </c>
      <c r="W77" s="259">
        <f t="shared" si="21"/>
        <v>-6.9999999999254214E-2</v>
      </c>
      <c r="X77" s="353"/>
      <c r="Y77" s="226"/>
      <c r="Z77" s="226"/>
      <c r="AA77" s="226"/>
      <c r="AB77" s="226"/>
      <c r="AC77" s="226"/>
    </row>
    <row r="78" spans="1:29" s="225" customFormat="1">
      <c r="A78" s="205">
        <v>9820.16</v>
      </c>
      <c r="B78" s="205"/>
      <c r="C78" s="205">
        <v>163.63000000000102</v>
      </c>
      <c r="D78" s="206">
        <v>-4.0000000000418368E-2</v>
      </c>
      <c r="E78" s="207">
        <f t="shared" si="18"/>
        <v>44134</v>
      </c>
      <c r="F78" s="208"/>
      <c r="G78" s="208"/>
      <c r="H78" s="209">
        <f t="shared" si="19"/>
        <v>163.66999999999999</v>
      </c>
      <c r="I78" s="364">
        <v>42309</v>
      </c>
      <c r="J78" s="212" t="str">
        <f t="shared" si="16"/>
        <v>- - DONE - -</v>
      </c>
      <c r="K78" s="212" t="str">
        <f t="shared" si="17"/>
        <v>- - DONE - -</v>
      </c>
      <c r="L78" s="212" t="str">
        <f t="shared" si="17"/>
        <v>- - DONE - -</v>
      </c>
      <c r="M78" s="212" t="str">
        <f t="shared" si="17"/>
        <v>- - DONE - -</v>
      </c>
      <c r="N78" s="212" t="str">
        <f t="shared" si="17"/>
        <v>- - DONE - -</v>
      </c>
      <c r="O78" s="212" t="str">
        <f t="shared" si="17"/>
        <v>- - DONE - -</v>
      </c>
      <c r="P78" s="212" t="str">
        <f t="shared" si="17"/>
        <v>- - DONE - -</v>
      </c>
      <c r="Q78" s="212" t="str">
        <f t="shared" si="17"/>
        <v>- - DONE - -</v>
      </c>
      <c r="R78" s="212" t="str">
        <f t="shared" si="17"/>
        <v>- - DONE - -</v>
      </c>
      <c r="S78" s="212" t="str">
        <f t="shared" si="17"/>
        <v>- - DONE - -</v>
      </c>
      <c r="T78" s="212" t="str">
        <f t="shared" si="17"/>
        <v>- - DONE - -</v>
      </c>
      <c r="U78" s="212" t="str">
        <f t="shared" si="17"/>
        <v>- - DONE - -</v>
      </c>
      <c r="V78" s="211">
        <f t="shared" si="20"/>
        <v>0</v>
      </c>
      <c r="W78" s="259">
        <f t="shared" si="21"/>
        <v>-4.0000000000418368E-2</v>
      </c>
      <c r="X78" s="353"/>
      <c r="Y78" s="226"/>
      <c r="Z78" s="226"/>
      <c r="AA78" s="226"/>
      <c r="AB78" s="226"/>
      <c r="AC78" s="226"/>
    </row>
    <row r="79" spans="1:29" s="225" customFormat="1">
      <c r="A79" s="338">
        <v>28368.399999999998</v>
      </c>
      <c r="B79" s="338"/>
      <c r="C79" s="338">
        <v>472.60999999999694</v>
      </c>
      <c r="D79" s="339">
        <v>-0.20000000000891305</v>
      </c>
      <c r="E79" s="340">
        <f t="shared" si="18"/>
        <v>44164</v>
      </c>
      <c r="F79" s="341"/>
      <c r="G79" s="341"/>
      <c r="H79" s="342">
        <f t="shared" si="19"/>
        <v>472.81</v>
      </c>
      <c r="I79" s="365">
        <v>42339</v>
      </c>
      <c r="J79" s="343" t="str">
        <f t="shared" si="16"/>
        <v>- - DONE - -</v>
      </c>
      <c r="K79" s="343" t="str">
        <f>IF(K$7&lt;$I79,"",IF(K$7=$I79,+$C79,IF(K$7&lt;=$E79,+(ROUND(($A79-$C79)/59,2)),"- - DONE - -")))</f>
        <v>- - DONE - -</v>
      </c>
      <c r="L79" s="343" t="str">
        <f t="shared" si="17"/>
        <v>- - DONE - -</v>
      </c>
      <c r="M79" s="343" t="str">
        <f t="shared" si="17"/>
        <v>- - DONE - -</v>
      </c>
      <c r="N79" s="343" t="str">
        <f t="shared" si="17"/>
        <v>- - DONE - -</v>
      </c>
      <c r="O79" s="343" t="str">
        <f t="shared" si="17"/>
        <v>- - DONE - -</v>
      </c>
      <c r="P79" s="343" t="str">
        <f t="shared" si="17"/>
        <v>- - DONE - -</v>
      </c>
      <c r="Q79" s="343" t="str">
        <f t="shared" si="17"/>
        <v>- - DONE - -</v>
      </c>
      <c r="R79" s="343" t="str">
        <f t="shared" si="17"/>
        <v>- - DONE - -</v>
      </c>
      <c r="S79" s="343" t="str">
        <f t="shared" si="17"/>
        <v>- - DONE - -</v>
      </c>
      <c r="T79" s="343" t="str">
        <f t="shared" si="17"/>
        <v>- - DONE - -</v>
      </c>
      <c r="U79" s="343" t="str">
        <f t="shared" si="17"/>
        <v>- - DONE - -</v>
      </c>
      <c r="V79" s="344">
        <f t="shared" si="20"/>
        <v>0</v>
      </c>
      <c r="W79" s="330">
        <f t="shared" si="21"/>
        <v>-0.20000000000891305</v>
      </c>
      <c r="X79" s="353"/>
      <c r="Y79" s="226"/>
      <c r="Z79" s="226"/>
      <c r="AA79" s="226"/>
      <c r="AB79" s="226"/>
      <c r="AC79" s="226"/>
    </row>
    <row r="80" spans="1:29" s="225" customFormat="1">
      <c r="A80" s="205">
        <v>4420.96</v>
      </c>
      <c r="B80" s="205"/>
      <c r="C80" s="205">
        <f>A80/60</f>
        <v>73.682666666666663</v>
      </c>
      <c r="D80" s="206">
        <v>0.15733333333173505</v>
      </c>
      <c r="E80" s="207">
        <v>44186</v>
      </c>
      <c r="F80" s="208"/>
      <c r="G80" s="208"/>
      <c r="H80" s="209">
        <f>+ROUND((+A80-C80)/59,2)</f>
        <v>73.680000000000007</v>
      </c>
      <c r="I80" s="364">
        <v>42370</v>
      </c>
      <c r="J80" s="210" t="str">
        <f>IF(J$7&lt;$I80,"",IF(J$7=$I80,+$C80,IF(J$7&lt;=$E80,+(ROUND(($A80-$C80)/59,2)),"- - DONE - -")))</f>
        <v>- - DONE - -</v>
      </c>
      <c r="K80" s="210" t="str">
        <f t="shared" ref="K80:U108" si="22">IF(K$7&lt;$I80,"",IF(K$7=$I80,+$C80,IF(K$7&lt;=$E80,+(ROUND(($A80-$C80)/59,2)),"- - DONE - -")))</f>
        <v>- - DONE - -</v>
      </c>
      <c r="L80" s="210" t="str">
        <f t="shared" si="17"/>
        <v>- - DONE - -</v>
      </c>
      <c r="M80" s="210" t="str">
        <f t="shared" si="17"/>
        <v>- - DONE - -</v>
      </c>
      <c r="N80" s="210" t="str">
        <f t="shared" si="17"/>
        <v>- - DONE - -</v>
      </c>
      <c r="O80" s="210" t="str">
        <f t="shared" si="17"/>
        <v>- - DONE - -</v>
      </c>
      <c r="P80" s="210" t="str">
        <f t="shared" si="17"/>
        <v>- - DONE - -</v>
      </c>
      <c r="Q80" s="210" t="str">
        <f t="shared" si="17"/>
        <v>- - DONE - -</v>
      </c>
      <c r="R80" s="210" t="str">
        <f t="shared" si="17"/>
        <v>- - DONE - -</v>
      </c>
      <c r="S80" s="210" t="str">
        <f t="shared" si="17"/>
        <v>- - DONE - -</v>
      </c>
      <c r="T80" s="210" t="str">
        <f t="shared" si="17"/>
        <v>- - DONE - -</v>
      </c>
      <c r="U80" s="210" t="str">
        <f t="shared" si="17"/>
        <v>- - DONE - -</v>
      </c>
      <c r="V80" s="211">
        <f>SUM(J80:U80)</f>
        <v>0</v>
      </c>
      <c r="W80" s="354">
        <f t="shared" si="21"/>
        <v>0.15733333333173505</v>
      </c>
      <c r="X80" s="353"/>
      <c r="Y80" s="226"/>
      <c r="Z80" s="226"/>
      <c r="AA80" s="226"/>
      <c r="AB80" s="226"/>
      <c r="AC80" s="226"/>
    </row>
    <row r="81" spans="1:29" s="225" customFormat="1">
      <c r="A81" s="205">
        <v>11495.92</v>
      </c>
      <c r="B81" s="205"/>
      <c r="C81" s="205">
        <f t="shared" ref="C81:C119" si="23">A81/60</f>
        <v>191.59866666666667</v>
      </c>
      <c r="D81" s="206">
        <v>191.52133333333677</v>
      </c>
      <c r="E81" s="207">
        <v>44217</v>
      </c>
      <c r="F81" s="208"/>
      <c r="G81" s="208"/>
      <c r="H81" s="209">
        <f t="shared" ref="H81:H93" si="24">+ROUND((+A81-C81)/59,2)</f>
        <v>191.6</v>
      </c>
      <c r="I81" s="364">
        <v>42401</v>
      </c>
      <c r="J81" s="212">
        <f t="shared" ref="J81:J144" si="25">IF(J$7&lt;$I81,"",IF(J$7=$I81,+$C81,IF(J$7&lt;=$E81,+(ROUND(($A81-$C81)/59,2)),"- - DONE - -")))</f>
        <v>191.6</v>
      </c>
      <c r="K81" s="212" t="str">
        <f t="shared" si="22"/>
        <v>- - DONE - -</v>
      </c>
      <c r="L81" s="212" t="str">
        <f t="shared" si="17"/>
        <v>- - DONE - -</v>
      </c>
      <c r="M81" s="212" t="str">
        <f t="shared" si="17"/>
        <v>- - DONE - -</v>
      </c>
      <c r="N81" s="212" t="str">
        <f t="shared" si="17"/>
        <v>- - DONE - -</v>
      </c>
      <c r="O81" s="212" t="str">
        <f t="shared" si="17"/>
        <v>- - DONE - -</v>
      </c>
      <c r="P81" s="212" t="str">
        <f t="shared" si="17"/>
        <v>- - DONE - -</v>
      </c>
      <c r="Q81" s="212" t="str">
        <f t="shared" si="17"/>
        <v>- - DONE - -</v>
      </c>
      <c r="R81" s="212" t="str">
        <f t="shared" si="17"/>
        <v>- - DONE - -</v>
      </c>
      <c r="S81" s="212" t="str">
        <f t="shared" si="17"/>
        <v>- - DONE - -</v>
      </c>
      <c r="T81" s="212" t="str">
        <f t="shared" si="17"/>
        <v>- - DONE - -</v>
      </c>
      <c r="U81" s="212" t="str">
        <f t="shared" si="17"/>
        <v>- - DONE - -</v>
      </c>
      <c r="V81" s="211">
        <f>SUM(J81:U81)</f>
        <v>191.6</v>
      </c>
      <c r="W81" s="259">
        <f t="shared" si="21"/>
        <v>-7.8666666663224305E-2</v>
      </c>
      <c r="X81" s="353"/>
      <c r="Y81" s="226"/>
      <c r="Z81" s="226"/>
      <c r="AA81" s="226"/>
      <c r="AB81" s="226"/>
      <c r="AC81" s="226"/>
    </row>
    <row r="82" spans="1:29" s="225" customFormat="1">
      <c r="A82" s="205">
        <v>9053.41</v>
      </c>
      <c r="B82" s="205"/>
      <c r="C82" s="205">
        <f t="shared" si="23"/>
        <v>150.89016666666666</v>
      </c>
      <c r="D82" s="206">
        <v>301.79000000000269</v>
      </c>
      <c r="E82" s="207">
        <v>44248</v>
      </c>
      <c r="F82" s="208"/>
      <c r="G82" s="208"/>
      <c r="H82" s="209">
        <f t="shared" si="24"/>
        <v>150.88999999999999</v>
      </c>
      <c r="I82" s="364">
        <v>42430</v>
      </c>
      <c r="J82" s="212">
        <f t="shared" si="25"/>
        <v>150.88999999999999</v>
      </c>
      <c r="K82" s="212">
        <f t="shared" si="22"/>
        <v>150.88999999999999</v>
      </c>
      <c r="L82" s="212" t="str">
        <f t="shared" si="17"/>
        <v>- - DONE - -</v>
      </c>
      <c r="M82" s="212" t="str">
        <f t="shared" si="17"/>
        <v>- - DONE - -</v>
      </c>
      <c r="N82" s="212" t="str">
        <f t="shared" si="17"/>
        <v>- - DONE - -</v>
      </c>
      <c r="O82" s="212" t="str">
        <f t="shared" si="17"/>
        <v>- - DONE - -</v>
      </c>
      <c r="P82" s="212" t="str">
        <f t="shared" si="17"/>
        <v>- - DONE - -</v>
      </c>
      <c r="Q82" s="212" t="str">
        <f t="shared" si="17"/>
        <v>- - DONE - -</v>
      </c>
      <c r="R82" s="212" t="str">
        <f t="shared" si="17"/>
        <v>- - DONE - -</v>
      </c>
      <c r="S82" s="212" t="str">
        <f t="shared" si="17"/>
        <v>- - DONE - -</v>
      </c>
      <c r="T82" s="212" t="str">
        <f t="shared" si="17"/>
        <v>- - DONE - -</v>
      </c>
      <c r="U82" s="212" t="str">
        <f t="shared" si="17"/>
        <v>- - DONE - -</v>
      </c>
      <c r="V82" s="211">
        <f t="shared" si="20"/>
        <v>301.77999999999997</v>
      </c>
      <c r="W82" s="259">
        <f t="shared" si="21"/>
        <v>1.0000000002719389E-2</v>
      </c>
      <c r="X82" s="353"/>
      <c r="Y82" s="226"/>
      <c r="Z82" s="226"/>
      <c r="AA82" s="226"/>
      <c r="AB82" s="226"/>
      <c r="AC82" s="226"/>
    </row>
    <row r="83" spans="1:29" s="225" customFormat="1">
      <c r="A83" s="205">
        <v>7989.6399999999994</v>
      </c>
      <c r="B83" s="205"/>
      <c r="C83" s="205">
        <f t="shared" si="23"/>
        <v>133.16066666666666</v>
      </c>
      <c r="D83" s="206">
        <v>399.51999999999816</v>
      </c>
      <c r="E83" s="207">
        <v>44276</v>
      </c>
      <c r="F83" s="208"/>
      <c r="G83" s="208"/>
      <c r="H83" s="209">
        <f t="shared" si="24"/>
        <v>133.16</v>
      </c>
      <c r="I83" s="364">
        <v>42461</v>
      </c>
      <c r="J83" s="212">
        <f t="shared" si="25"/>
        <v>133.16</v>
      </c>
      <c r="K83" s="212">
        <f t="shared" si="22"/>
        <v>133.16</v>
      </c>
      <c r="L83" s="212">
        <f t="shared" si="17"/>
        <v>133.16</v>
      </c>
      <c r="M83" s="212" t="str">
        <f t="shared" si="17"/>
        <v>- - DONE - -</v>
      </c>
      <c r="N83" s="212" t="str">
        <f t="shared" si="17"/>
        <v>- - DONE - -</v>
      </c>
      <c r="O83" s="212" t="str">
        <f t="shared" si="17"/>
        <v>- - DONE - -</v>
      </c>
      <c r="P83" s="212" t="str">
        <f t="shared" si="17"/>
        <v>- - DONE - -</v>
      </c>
      <c r="Q83" s="212" t="str">
        <f t="shared" si="17"/>
        <v>- - DONE - -</v>
      </c>
      <c r="R83" s="212" t="str">
        <f t="shared" si="17"/>
        <v>- - DONE - -</v>
      </c>
      <c r="S83" s="212" t="str">
        <f t="shared" si="17"/>
        <v>- - DONE - -</v>
      </c>
      <c r="T83" s="212" t="str">
        <f t="shared" si="17"/>
        <v>- - DONE - -</v>
      </c>
      <c r="U83" s="212" t="str">
        <f t="shared" si="17"/>
        <v>- - DONE - -</v>
      </c>
      <c r="V83" s="211">
        <f t="shared" si="20"/>
        <v>399.48</v>
      </c>
      <c r="W83" s="259">
        <f t="shared" si="21"/>
        <v>3.9999999998144631E-2</v>
      </c>
      <c r="X83" s="353"/>
      <c r="Y83" s="226"/>
      <c r="Z83" s="226"/>
      <c r="AA83" s="226"/>
      <c r="AB83" s="226"/>
      <c r="AC83" s="226"/>
    </row>
    <row r="84" spans="1:29" s="225" customFormat="1">
      <c r="A84" s="205">
        <v>6646.7</v>
      </c>
      <c r="B84" s="205"/>
      <c r="C84" s="205">
        <f t="shared" si="23"/>
        <v>110.77833333333334</v>
      </c>
      <c r="D84" s="206">
        <v>443.02000000000089</v>
      </c>
      <c r="E84" s="207">
        <v>44307</v>
      </c>
      <c r="F84" s="208"/>
      <c r="G84" s="208"/>
      <c r="H84" s="209">
        <f t="shared" si="24"/>
        <v>110.78</v>
      </c>
      <c r="I84" s="364">
        <v>42491</v>
      </c>
      <c r="J84" s="212">
        <f t="shared" si="25"/>
        <v>110.78</v>
      </c>
      <c r="K84" s="212">
        <f t="shared" si="22"/>
        <v>110.78</v>
      </c>
      <c r="L84" s="212">
        <f t="shared" si="17"/>
        <v>110.78</v>
      </c>
      <c r="M84" s="212">
        <f t="shared" si="17"/>
        <v>110.78</v>
      </c>
      <c r="N84" s="212" t="str">
        <f t="shared" si="17"/>
        <v>- - DONE - -</v>
      </c>
      <c r="O84" s="212" t="str">
        <f t="shared" si="17"/>
        <v>- - DONE - -</v>
      </c>
      <c r="P84" s="212" t="str">
        <f t="shared" si="17"/>
        <v>- - DONE - -</v>
      </c>
      <c r="Q84" s="212" t="str">
        <f t="shared" si="17"/>
        <v>- - DONE - -</v>
      </c>
      <c r="R84" s="212" t="str">
        <f t="shared" si="17"/>
        <v>- - DONE - -</v>
      </c>
      <c r="S84" s="212" t="str">
        <f t="shared" si="17"/>
        <v>- - DONE - -</v>
      </c>
      <c r="T84" s="212" t="str">
        <f t="shared" si="17"/>
        <v>- - DONE - -</v>
      </c>
      <c r="U84" s="212" t="str">
        <f t="shared" si="17"/>
        <v>- - DONE - -</v>
      </c>
      <c r="V84" s="211">
        <f t="shared" si="20"/>
        <v>443.12</v>
      </c>
      <c r="W84" s="259">
        <f t="shared" si="21"/>
        <v>-9.9999999999113243E-2</v>
      </c>
      <c r="X84" s="353"/>
      <c r="Y84" s="226"/>
      <c r="Z84" s="226"/>
      <c r="AA84" s="226"/>
      <c r="AB84" s="226"/>
      <c r="AC84" s="226"/>
    </row>
    <row r="85" spans="1:29" s="225" customFormat="1">
      <c r="A85" s="205">
        <v>10539.15</v>
      </c>
      <c r="B85" s="205"/>
      <c r="C85" s="205">
        <f t="shared" si="23"/>
        <v>175.6525</v>
      </c>
      <c r="D85" s="206">
        <v>878.39999999999509</v>
      </c>
      <c r="E85" s="207">
        <v>44337</v>
      </c>
      <c r="F85" s="208"/>
      <c r="G85" s="208"/>
      <c r="H85" s="209">
        <f t="shared" si="24"/>
        <v>175.65</v>
      </c>
      <c r="I85" s="364">
        <v>42522</v>
      </c>
      <c r="J85" s="212">
        <f t="shared" si="25"/>
        <v>175.65</v>
      </c>
      <c r="K85" s="212">
        <f t="shared" si="22"/>
        <v>175.65</v>
      </c>
      <c r="L85" s="212">
        <f t="shared" si="17"/>
        <v>175.65</v>
      </c>
      <c r="M85" s="212">
        <f t="shared" si="17"/>
        <v>175.65</v>
      </c>
      <c r="N85" s="212">
        <f t="shared" si="17"/>
        <v>175.65</v>
      </c>
      <c r="O85" s="212" t="str">
        <f t="shared" si="17"/>
        <v>- - DONE - -</v>
      </c>
      <c r="P85" s="212" t="str">
        <f t="shared" si="17"/>
        <v>- - DONE - -</v>
      </c>
      <c r="Q85" s="212" t="str">
        <f t="shared" si="17"/>
        <v>- - DONE - -</v>
      </c>
      <c r="R85" s="212" t="str">
        <f t="shared" si="17"/>
        <v>- - DONE - -</v>
      </c>
      <c r="S85" s="212" t="str">
        <f t="shared" si="17"/>
        <v>- - DONE - -</v>
      </c>
      <c r="T85" s="212" t="str">
        <f t="shared" si="17"/>
        <v>- - DONE - -</v>
      </c>
      <c r="U85" s="212" t="str">
        <f t="shared" si="17"/>
        <v>- - DONE - -</v>
      </c>
      <c r="V85" s="211">
        <f t="shared" si="20"/>
        <v>878.25</v>
      </c>
      <c r="W85" s="259">
        <f t="shared" si="21"/>
        <v>0.14999999999508873</v>
      </c>
      <c r="X85" s="353"/>
      <c r="Y85" s="226"/>
      <c r="Z85" s="226"/>
      <c r="AA85" s="226"/>
      <c r="AB85" s="226"/>
      <c r="AC85" s="226"/>
    </row>
    <row r="86" spans="1:29" s="225" customFormat="1">
      <c r="A86" s="205">
        <v>10882.640000000001</v>
      </c>
      <c r="B86" s="205"/>
      <c r="C86" s="205">
        <f t="shared" si="23"/>
        <v>181.37733333333335</v>
      </c>
      <c r="D86" s="206">
        <v>1088.119999999999</v>
      </c>
      <c r="E86" s="207">
        <v>44368</v>
      </c>
      <c r="F86" s="208"/>
      <c r="G86" s="208"/>
      <c r="H86" s="209">
        <f t="shared" si="24"/>
        <v>181.38</v>
      </c>
      <c r="I86" s="364">
        <v>42552</v>
      </c>
      <c r="J86" s="212">
        <f t="shared" si="25"/>
        <v>181.38</v>
      </c>
      <c r="K86" s="212">
        <f t="shared" si="22"/>
        <v>181.38</v>
      </c>
      <c r="L86" s="212">
        <f t="shared" si="22"/>
        <v>181.38</v>
      </c>
      <c r="M86" s="212">
        <f t="shared" si="22"/>
        <v>181.38</v>
      </c>
      <c r="N86" s="212">
        <f t="shared" si="22"/>
        <v>181.38</v>
      </c>
      <c r="O86" s="212">
        <f t="shared" si="22"/>
        <v>181.38</v>
      </c>
      <c r="P86" s="212" t="str">
        <f t="shared" si="22"/>
        <v>- - DONE - -</v>
      </c>
      <c r="Q86" s="212" t="str">
        <f t="shared" si="22"/>
        <v>- - DONE - -</v>
      </c>
      <c r="R86" s="212" t="str">
        <f t="shared" si="22"/>
        <v>- - DONE - -</v>
      </c>
      <c r="S86" s="212" t="str">
        <f t="shared" si="22"/>
        <v>- - DONE - -</v>
      </c>
      <c r="T86" s="212" t="str">
        <f t="shared" si="22"/>
        <v>- - DONE - -</v>
      </c>
      <c r="U86" s="212" t="str">
        <f t="shared" si="22"/>
        <v>- - DONE - -</v>
      </c>
      <c r="V86" s="211">
        <f t="shared" si="20"/>
        <v>1088.28</v>
      </c>
      <c r="W86" s="259">
        <f t="shared" si="21"/>
        <v>-0.16000000000099135</v>
      </c>
      <c r="X86" s="353"/>
      <c r="Y86" s="226"/>
      <c r="Z86" s="226"/>
      <c r="AA86" s="226"/>
      <c r="AB86" s="226"/>
      <c r="AC86" s="226"/>
    </row>
    <row r="87" spans="1:29" s="225" customFormat="1">
      <c r="A87" s="205">
        <v>12651.93</v>
      </c>
      <c r="B87" s="205"/>
      <c r="C87" s="205">
        <f t="shared" si="23"/>
        <v>210.8655</v>
      </c>
      <c r="D87" s="206">
        <v>1475.8200000000043</v>
      </c>
      <c r="E87" s="207">
        <v>44398</v>
      </c>
      <c r="F87" s="208"/>
      <c r="G87" s="208"/>
      <c r="H87" s="209">
        <f t="shared" si="24"/>
        <v>210.87</v>
      </c>
      <c r="I87" s="364">
        <v>42583</v>
      </c>
      <c r="J87" s="212">
        <f t="shared" si="25"/>
        <v>210.87</v>
      </c>
      <c r="K87" s="212">
        <f t="shared" si="22"/>
        <v>210.87</v>
      </c>
      <c r="L87" s="212">
        <f t="shared" si="22"/>
        <v>210.87</v>
      </c>
      <c r="M87" s="212">
        <f t="shared" si="22"/>
        <v>210.87</v>
      </c>
      <c r="N87" s="212">
        <f t="shared" si="22"/>
        <v>210.87</v>
      </c>
      <c r="O87" s="212">
        <f t="shared" si="22"/>
        <v>210.87</v>
      </c>
      <c r="P87" s="212">
        <f t="shared" si="22"/>
        <v>210.87</v>
      </c>
      <c r="Q87" s="212" t="str">
        <f t="shared" si="22"/>
        <v>- - DONE - -</v>
      </c>
      <c r="R87" s="212" t="str">
        <f t="shared" si="22"/>
        <v>- - DONE - -</v>
      </c>
      <c r="S87" s="212" t="str">
        <f t="shared" si="22"/>
        <v>- - DONE - -</v>
      </c>
      <c r="T87" s="212" t="str">
        <f t="shared" si="22"/>
        <v>- - DONE - -</v>
      </c>
      <c r="U87" s="212" t="str">
        <f t="shared" si="22"/>
        <v>- - DONE - -</v>
      </c>
      <c r="V87" s="211">
        <f t="shared" si="20"/>
        <v>1476.0899999999997</v>
      </c>
      <c r="W87" s="259">
        <f t="shared" si="21"/>
        <v>-0.26999999999543434</v>
      </c>
      <c r="X87" s="353"/>
      <c r="Y87" s="226"/>
      <c r="Z87" s="226"/>
      <c r="AA87" s="226"/>
      <c r="AB87" s="226"/>
      <c r="AC87" s="226"/>
    </row>
    <row r="88" spans="1:29" s="225" customFormat="1">
      <c r="A88" s="205">
        <v>17433.46</v>
      </c>
      <c r="B88" s="205"/>
      <c r="C88" s="205">
        <f t="shared" si="23"/>
        <v>290.55766666666665</v>
      </c>
      <c r="D88" s="206">
        <v>2324.3400000000015</v>
      </c>
      <c r="E88" s="207">
        <v>44429</v>
      </c>
      <c r="F88" s="208"/>
      <c r="G88" s="208"/>
      <c r="H88" s="209">
        <f t="shared" si="24"/>
        <v>290.56</v>
      </c>
      <c r="I88" s="364">
        <v>42614</v>
      </c>
      <c r="J88" s="212">
        <f t="shared" si="25"/>
        <v>290.56</v>
      </c>
      <c r="K88" s="212">
        <f t="shared" si="22"/>
        <v>290.56</v>
      </c>
      <c r="L88" s="212">
        <f t="shared" si="22"/>
        <v>290.56</v>
      </c>
      <c r="M88" s="212">
        <f t="shared" si="22"/>
        <v>290.56</v>
      </c>
      <c r="N88" s="212">
        <f t="shared" si="22"/>
        <v>290.56</v>
      </c>
      <c r="O88" s="212">
        <f t="shared" si="22"/>
        <v>290.56</v>
      </c>
      <c r="P88" s="212">
        <f t="shared" si="22"/>
        <v>290.56</v>
      </c>
      <c r="Q88" s="212">
        <f t="shared" si="22"/>
        <v>290.56</v>
      </c>
      <c r="R88" s="212" t="str">
        <f t="shared" si="22"/>
        <v>- - DONE - -</v>
      </c>
      <c r="S88" s="212" t="str">
        <f t="shared" si="22"/>
        <v>- - DONE - -</v>
      </c>
      <c r="T88" s="212" t="str">
        <f t="shared" si="22"/>
        <v>- - DONE - -</v>
      </c>
      <c r="U88" s="212" t="str">
        <f t="shared" si="22"/>
        <v>- - DONE - -</v>
      </c>
      <c r="V88" s="211">
        <f t="shared" si="20"/>
        <v>2324.48</v>
      </c>
      <c r="W88" s="259">
        <f t="shared" si="21"/>
        <v>-0.13999999999850843</v>
      </c>
      <c r="X88" s="353"/>
      <c r="Y88" s="226"/>
      <c r="Z88" s="226"/>
      <c r="AA88" s="226"/>
      <c r="AB88" s="226"/>
      <c r="AC88" s="226"/>
    </row>
    <row r="89" spans="1:29" s="225" customFormat="1">
      <c r="A89" s="205">
        <v>15355.83</v>
      </c>
      <c r="B89" s="205"/>
      <c r="C89" s="205">
        <f t="shared" si="23"/>
        <v>255.93049999999999</v>
      </c>
      <c r="D89" s="206">
        <v>2303.4000000000015</v>
      </c>
      <c r="E89" s="207">
        <v>44460</v>
      </c>
      <c r="F89" s="208"/>
      <c r="G89" s="208"/>
      <c r="H89" s="209">
        <f t="shared" si="24"/>
        <v>255.93</v>
      </c>
      <c r="I89" s="364">
        <v>42644</v>
      </c>
      <c r="J89" s="212">
        <f t="shared" si="25"/>
        <v>255.93</v>
      </c>
      <c r="K89" s="212">
        <f t="shared" si="22"/>
        <v>255.93</v>
      </c>
      <c r="L89" s="212">
        <f t="shared" si="22"/>
        <v>255.93</v>
      </c>
      <c r="M89" s="212">
        <f t="shared" si="22"/>
        <v>255.93</v>
      </c>
      <c r="N89" s="212">
        <f t="shared" si="22"/>
        <v>255.93</v>
      </c>
      <c r="O89" s="212">
        <f t="shared" si="22"/>
        <v>255.93</v>
      </c>
      <c r="P89" s="212">
        <f t="shared" si="22"/>
        <v>255.93</v>
      </c>
      <c r="Q89" s="212">
        <f t="shared" si="22"/>
        <v>255.93</v>
      </c>
      <c r="R89" s="212">
        <f t="shared" si="22"/>
        <v>255.93</v>
      </c>
      <c r="S89" s="212" t="str">
        <f t="shared" si="22"/>
        <v>- - DONE - -</v>
      </c>
      <c r="T89" s="212" t="str">
        <f t="shared" si="22"/>
        <v>- - DONE - -</v>
      </c>
      <c r="U89" s="212" t="str">
        <f t="shared" si="22"/>
        <v>- - DONE - -</v>
      </c>
      <c r="V89" s="211">
        <f t="shared" si="20"/>
        <v>2303.3700000000003</v>
      </c>
      <c r="W89" s="259">
        <f t="shared" si="21"/>
        <v>3.0000000001109584E-2</v>
      </c>
      <c r="X89" s="353"/>
      <c r="Y89" s="226"/>
      <c r="Z89" s="226"/>
      <c r="AA89" s="226"/>
      <c r="AB89" s="226"/>
      <c r="AC89" s="226"/>
    </row>
    <row r="90" spans="1:29" s="225" customFormat="1">
      <c r="A90" s="205">
        <v>21486.379999999997</v>
      </c>
      <c r="B90" s="205"/>
      <c r="C90" s="205">
        <f t="shared" si="23"/>
        <v>358.10633333333328</v>
      </c>
      <c r="D90" s="206">
        <v>3580.8799999999956</v>
      </c>
      <c r="E90" s="207">
        <v>44490</v>
      </c>
      <c r="F90" s="208"/>
      <c r="G90" s="208"/>
      <c r="H90" s="209">
        <f t="shared" si="24"/>
        <v>358.11</v>
      </c>
      <c r="I90" s="364">
        <v>42675</v>
      </c>
      <c r="J90" s="212">
        <f t="shared" si="25"/>
        <v>358.11</v>
      </c>
      <c r="K90" s="212">
        <f t="shared" si="22"/>
        <v>358.11</v>
      </c>
      <c r="L90" s="212">
        <f t="shared" si="22"/>
        <v>358.11</v>
      </c>
      <c r="M90" s="212">
        <f t="shared" si="22"/>
        <v>358.11</v>
      </c>
      <c r="N90" s="212">
        <f t="shared" si="22"/>
        <v>358.11</v>
      </c>
      <c r="O90" s="212">
        <f t="shared" si="22"/>
        <v>358.11</v>
      </c>
      <c r="P90" s="212">
        <f t="shared" si="22"/>
        <v>358.11</v>
      </c>
      <c r="Q90" s="212">
        <f t="shared" si="22"/>
        <v>358.11</v>
      </c>
      <c r="R90" s="212">
        <f t="shared" si="22"/>
        <v>358.11</v>
      </c>
      <c r="S90" s="212">
        <f t="shared" si="22"/>
        <v>358.11</v>
      </c>
      <c r="T90" s="212" t="str">
        <f t="shared" si="22"/>
        <v>- - DONE - -</v>
      </c>
      <c r="U90" s="212" t="str">
        <f t="shared" si="22"/>
        <v>- - DONE - -</v>
      </c>
      <c r="V90" s="211">
        <f t="shared" si="20"/>
        <v>3581.1000000000008</v>
      </c>
      <c r="W90" s="259">
        <f t="shared" si="21"/>
        <v>-0.22000000000525688</v>
      </c>
      <c r="X90" s="353"/>
      <c r="Y90" s="226"/>
      <c r="Z90" s="226"/>
      <c r="AA90" s="226"/>
      <c r="AB90" s="226"/>
      <c r="AC90" s="226"/>
    </row>
    <row r="91" spans="1:29" s="225" customFormat="1">
      <c r="A91" s="338">
        <v>4243.8099999999995</v>
      </c>
      <c r="B91" s="338"/>
      <c r="C91" s="338">
        <f t="shared" si="23"/>
        <v>70.730166666666662</v>
      </c>
      <c r="D91" s="339">
        <v>778.03999999999917</v>
      </c>
      <c r="E91" s="340">
        <v>44521</v>
      </c>
      <c r="F91" s="341"/>
      <c r="G91" s="341"/>
      <c r="H91" s="342">
        <f t="shared" si="24"/>
        <v>70.73</v>
      </c>
      <c r="I91" s="365">
        <v>42705</v>
      </c>
      <c r="J91" s="343">
        <f t="shared" si="25"/>
        <v>70.73</v>
      </c>
      <c r="K91" s="343">
        <f t="shared" si="22"/>
        <v>70.73</v>
      </c>
      <c r="L91" s="343">
        <f t="shared" si="22"/>
        <v>70.73</v>
      </c>
      <c r="M91" s="343">
        <f t="shared" si="22"/>
        <v>70.73</v>
      </c>
      <c r="N91" s="343">
        <f t="shared" si="22"/>
        <v>70.73</v>
      </c>
      <c r="O91" s="343">
        <f t="shared" si="22"/>
        <v>70.73</v>
      </c>
      <c r="P91" s="343">
        <f t="shared" si="22"/>
        <v>70.73</v>
      </c>
      <c r="Q91" s="343">
        <f t="shared" si="22"/>
        <v>70.73</v>
      </c>
      <c r="R91" s="343">
        <f t="shared" si="22"/>
        <v>70.73</v>
      </c>
      <c r="S91" s="343">
        <f t="shared" si="22"/>
        <v>70.73</v>
      </c>
      <c r="T91" s="343">
        <f t="shared" si="22"/>
        <v>70.73</v>
      </c>
      <c r="U91" s="343" t="str">
        <f t="shared" si="22"/>
        <v>- - DONE - -</v>
      </c>
      <c r="V91" s="344">
        <f t="shared" si="20"/>
        <v>778.03000000000009</v>
      </c>
      <c r="W91" s="330">
        <f t="shared" si="21"/>
        <v>9.9999999990814104E-3</v>
      </c>
      <c r="X91" s="353"/>
      <c r="Y91" s="226"/>
      <c r="Z91" s="226"/>
      <c r="AA91" s="226"/>
      <c r="AB91" s="226"/>
      <c r="AC91" s="226"/>
    </row>
    <row r="92" spans="1:29" s="225" customFormat="1">
      <c r="A92" s="205">
        <v>8556.2900000000009</v>
      </c>
      <c r="B92" s="205">
        <f t="shared" ref="B92:B99" si="26">B91+A92</f>
        <v>8556.2900000000009</v>
      </c>
      <c r="C92" s="205">
        <f t="shared" si="23"/>
        <v>142.60483333333335</v>
      </c>
      <c r="D92" s="206">
        <v>-701.53566666666529</v>
      </c>
      <c r="E92" s="207">
        <v>44551</v>
      </c>
      <c r="F92" s="208"/>
      <c r="G92" s="208"/>
      <c r="H92" s="209">
        <f t="shared" si="24"/>
        <v>142.6</v>
      </c>
      <c r="I92" s="364">
        <v>42736</v>
      </c>
      <c r="J92" s="210">
        <f t="shared" si="25"/>
        <v>142.6</v>
      </c>
      <c r="K92" s="212">
        <f t="shared" si="22"/>
        <v>142.6</v>
      </c>
      <c r="L92" s="212">
        <f t="shared" si="22"/>
        <v>142.6</v>
      </c>
      <c r="M92" s="212">
        <f t="shared" si="22"/>
        <v>142.6</v>
      </c>
      <c r="N92" s="212">
        <f t="shared" si="22"/>
        <v>142.6</v>
      </c>
      <c r="O92" s="212">
        <f t="shared" si="22"/>
        <v>142.6</v>
      </c>
      <c r="P92" s="212">
        <f t="shared" si="22"/>
        <v>142.6</v>
      </c>
      <c r="Q92" s="212">
        <f t="shared" si="22"/>
        <v>142.6</v>
      </c>
      <c r="R92" s="212">
        <f t="shared" si="22"/>
        <v>142.6</v>
      </c>
      <c r="S92" s="212">
        <f t="shared" si="22"/>
        <v>142.6</v>
      </c>
      <c r="T92" s="212">
        <f t="shared" si="22"/>
        <v>142.6</v>
      </c>
      <c r="U92" s="212">
        <f t="shared" si="22"/>
        <v>142.6</v>
      </c>
      <c r="V92" s="211">
        <f t="shared" si="20"/>
        <v>1711.1999999999996</v>
      </c>
      <c r="W92" s="259">
        <f t="shared" si="21"/>
        <v>-2412.7356666666647</v>
      </c>
      <c r="X92" s="353"/>
      <c r="Y92" s="226"/>
      <c r="Z92" s="226"/>
      <c r="AA92" s="226"/>
      <c r="AB92" s="226"/>
      <c r="AC92" s="226"/>
    </row>
    <row r="93" spans="1:29" s="225" customFormat="1">
      <c r="A93" s="205">
        <v>7504.82</v>
      </c>
      <c r="B93" s="205">
        <f t="shared" si="26"/>
        <v>16061.11</v>
      </c>
      <c r="C93" s="205">
        <f t="shared" si="23"/>
        <v>125.08033333333333</v>
      </c>
      <c r="D93" s="206">
        <v>1626.0596666666663</v>
      </c>
      <c r="E93" s="207">
        <v>44592</v>
      </c>
      <c r="F93" s="208"/>
      <c r="G93" s="208"/>
      <c r="H93" s="209">
        <f t="shared" si="24"/>
        <v>125.08</v>
      </c>
      <c r="I93" s="364">
        <v>42767</v>
      </c>
      <c r="J93" s="210">
        <f t="shared" si="25"/>
        <v>125.08</v>
      </c>
      <c r="K93" s="212">
        <f t="shared" si="22"/>
        <v>125.08</v>
      </c>
      <c r="L93" s="212">
        <f t="shared" si="22"/>
        <v>125.08</v>
      </c>
      <c r="M93" s="212">
        <f t="shared" si="22"/>
        <v>125.08</v>
      </c>
      <c r="N93" s="212">
        <f t="shared" si="22"/>
        <v>125.08</v>
      </c>
      <c r="O93" s="212">
        <f t="shared" si="22"/>
        <v>125.08</v>
      </c>
      <c r="P93" s="212">
        <f t="shared" si="22"/>
        <v>125.08</v>
      </c>
      <c r="Q93" s="212">
        <f t="shared" si="22"/>
        <v>125.08</v>
      </c>
      <c r="R93" s="212">
        <f t="shared" si="22"/>
        <v>125.08</v>
      </c>
      <c r="S93" s="212">
        <f t="shared" si="22"/>
        <v>125.08</v>
      </c>
      <c r="T93" s="212">
        <f t="shared" si="22"/>
        <v>125.08</v>
      </c>
      <c r="U93" s="212">
        <f t="shared" si="22"/>
        <v>125.08</v>
      </c>
      <c r="V93" s="211">
        <f t="shared" si="20"/>
        <v>1500.9599999999998</v>
      </c>
      <c r="W93" s="259">
        <f t="shared" si="21"/>
        <v>125.09966666666651</v>
      </c>
      <c r="X93" s="353"/>
      <c r="Y93" s="226"/>
      <c r="Z93" s="226"/>
      <c r="AA93" s="226"/>
      <c r="AB93" s="226"/>
      <c r="AC93" s="226"/>
    </row>
    <row r="94" spans="1:29" s="225" customFormat="1">
      <c r="A94" s="205">
        <v>16118.76</v>
      </c>
      <c r="B94" s="205">
        <f t="shared" si="26"/>
        <v>32179.870000000003</v>
      </c>
      <c r="C94" s="205">
        <f t="shared" si="23"/>
        <v>268.64600000000002</v>
      </c>
      <c r="D94" s="206">
        <v>3760.8599999999974</v>
      </c>
      <c r="E94" s="207">
        <v>44620</v>
      </c>
      <c r="F94" s="208"/>
      <c r="G94" s="208"/>
      <c r="H94" s="209">
        <f t="shared" ref="H94:H119" si="27">+ROUND((+A94-C94)/59,2)</f>
        <v>268.64999999999998</v>
      </c>
      <c r="I94" s="364">
        <v>42795</v>
      </c>
      <c r="J94" s="210">
        <f t="shared" si="25"/>
        <v>268.64999999999998</v>
      </c>
      <c r="K94" s="212">
        <f t="shared" si="22"/>
        <v>268.64999999999998</v>
      </c>
      <c r="L94" s="212">
        <f t="shared" si="22"/>
        <v>268.64999999999998</v>
      </c>
      <c r="M94" s="212">
        <f t="shared" si="22"/>
        <v>268.64999999999998</v>
      </c>
      <c r="N94" s="212">
        <f t="shared" si="22"/>
        <v>268.64999999999998</v>
      </c>
      <c r="O94" s="212">
        <f t="shared" si="22"/>
        <v>268.64999999999998</v>
      </c>
      <c r="P94" s="212">
        <f t="shared" si="22"/>
        <v>268.64999999999998</v>
      </c>
      <c r="Q94" s="212">
        <f t="shared" si="22"/>
        <v>268.64999999999998</v>
      </c>
      <c r="R94" s="212">
        <f t="shared" si="22"/>
        <v>268.64999999999998</v>
      </c>
      <c r="S94" s="212">
        <f t="shared" si="22"/>
        <v>268.64999999999998</v>
      </c>
      <c r="T94" s="212">
        <f t="shared" si="22"/>
        <v>268.64999999999998</v>
      </c>
      <c r="U94" s="212">
        <f t="shared" si="22"/>
        <v>268.64999999999998</v>
      </c>
      <c r="V94" s="211">
        <f t="shared" ref="V94:V121" si="28">SUM(J94:U94)</f>
        <v>3223.8000000000006</v>
      </c>
      <c r="W94" s="259">
        <f t="shared" si="21"/>
        <v>537.05999999999676</v>
      </c>
      <c r="X94" s="353"/>
      <c r="Y94" s="226"/>
      <c r="Z94" s="226"/>
      <c r="AA94" s="226"/>
      <c r="AB94" s="226"/>
      <c r="AC94" s="226"/>
    </row>
    <row r="95" spans="1:29" s="225" customFormat="1">
      <c r="A95" s="205">
        <v>14297.38</v>
      </c>
      <c r="B95" s="338">
        <f t="shared" si="26"/>
        <v>46477.25</v>
      </c>
      <c r="C95" s="338">
        <f t="shared" si="23"/>
        <v>238.28966666666665</v>
      </c>
      <c r="D95" s="339">
        <v>3574.3299999999995</v>
      </c>
      <c r="E95" s="340">
        <v>44651</v>
      </c>
      <c r="F95" s="341"/>
      <c r="G95" s="341"/>
      <c r="H95" s="342">
        <f t="shared" si="27"/>
        <v>238.29</v>
      </c>
      <c r="I95" s="365">
        <v>42826</v>
      </c>
      <c r="J95" s="210">
        <f t="shared" si="25"/>
        <v>238.29</v>
      </c>
      <c r="K95" s="212">
        <f t="shared" si="22"/>
        <v>238.29</v>
      </c>
      <c r="L95" s="212">
        <f t="shared" si="22"/>
        <v>238.29</v>
      </c>
      <c r="M95" s="212">
        <f t="shared" si="22"/>
        <v>238.29</v>
      </c>
      <c r="N95" s="212">
        <f t="shared" si="22"/>
        <v>238.29</v>
      </c>
      <c r="O95" s="212">
        <f t="shared" si="22"/>
        <v>238.29</v>
      </c>
      <c r="P95" s="212">
        <f t="shared" si="22"/>
        <v>238.29</v>
      </c>
      <c r="Q95" s="212">
        <f t="shared" si="22"/>
        <v>238.29</v>
      </c>
      <c r="R95" s="212">
        <f t="shared" si="22"/>
        <v>238.29</v>
      </c>
      <c r="S95" s="212">
        <f t="shared" si="22"/>
        <v>238.29</v>
      </c>
      <c r="T95" s="212">
        <f t="shared" si="22"/>
        <v>238.29</v>
      </c>
      <c r="U95" s="212">
        <f t="shared" si="22"/>
        <v>238.29</v>
      </c>
      <c r="V95" s="211">
        <f t="shared" si="28"/>
        <v>2859.48</v>
      </c>
      <c r="W95" s="259">
        <f t="shared" si="21"/>
        <v>714.84999999999945</v>
      </c>
      <c r="X95" s="353"/>
      <c r="Y95" s="226"/>
      <c r="Z95" s="226"/>
      <c r="AA95" s="226"/>
      <c r="AB95" s="226"/>
      <c r="AC95" s="226"/>
    </row>
    <row r="96" spans="1:29" s="225" customFormat="1">
      <c r="A96" s="205">
        <v>5702.7</v>
      </c>
      <c r="B96" s="205">
        <f t="shared" si="26"/>
        <v>52179.95</v>
      </c>
      <c r="C96" s="205">
        <f t="shared" si="23"/>
        <v>95.045000000000002</v>
      </c>
      <c r="D96" s="206">
        <v>1520.5000000000016</v>
      </c>
      <c r="E96" s="207">
        <v>44712</v>
      </c>
      <c r="F96" s="208"/>
      <c r="G96" s="208"/>
      <c r="H96" s="209">
        <f t="shared" si="27"/>
        <v>95.05</v>
      </c>
      <c r="I96" s="364">
        <v>42856</v>
      </c>
      <c r="J96" s="210">
        <f t="shared" si="25"/>
        <v>95.05</v>
      </c>
      <c r="K96" s="212">
        <f t="shared" si="22"/>
        <v>95.05</v>
      </c>
      <c r="L96" s="212">
        <f t="shared" si="22"/>
        <v>95.05</v>
      </c>
      <c r="M96" s="212">
        <f t="shared" si="22"/>
        <v>95.05</v>
      </c>
      <c r="N96" s="212">
        <f t="shared" si="22"/>
        <v>95.05</v>
      </c>
      <c r="O96" s="212">
        <f t="shared" si="22"/>
        <v>95.05</v>
      </c>
      <c r="P96" s="212">
        <f t="shared" si="22"/>
        <v>95.05</v>
      </c>
      <c r="Q96" s="212">
        <f t="shared" si="22"/>
        <v>95.05</v>
      </c>
      <c r="R96" s="212">
        <f t="shared" si="22"/>
        <v>95.05</v>
      </c>
      <c r="S96" s="212">
        <f t="shared" si="22"/>
        <v>95.05</v>
      </c>
      <c r="T96" s="212">
        <f t="shared" si="22"/>
        <v>95.05</v>
      </c>
      <c r="U96" s="212">
        <f t="shared" si="22"/>
        <v>95.05</v>
      </c>
      <c r="V96" s="211">
        <f t="shared" si="28"/>
        <v>1140.5999999999997</v>
      </c>
      <c r="W96" s="259">
        <f t="shared" si="21"/>
        <v>379.90000000000191</v>
      </c>
      <c r="X96" s="353"/>
      <c r="Y96" s="226"/>
      <c r="Z96" s="226"/>
      <c r="AA96" s="226"/>
      <c r="AB96" s="226"/>
      <c r="AC96" s="226"/>
    </row>
    <row r="97" spans="1:29" s="225" customFormat="1">
      <c r="A97" s="205">
        <v>9333.6200000000008</v>
      </c>
      <c r="B97" s="205">
        <f t="shared" si="26"/>
        <v>61513.57</v>
      </c>
      <c r="C97" s="205">
        <f t="shared" si="23"/>
        <v>155.56033333333335</v>
      </c>
      <c r="D97" s="206">
        <v>2644.5400000000027</v>
      </c>
      <c r="E97" s="207">
        <v>44713</v>
      </c>
      <c r="F97" s="208"/>
      <c r="G97" s="208"/>
      <c r="H97" s="209">
        <f t="shared" si="27"/>
        <v>155.56</v>
      </c>
      <c r="I97" s="364">
        <v>42887</v>
      </c>
      <c r="J97" s="210">
        <f t="shared" si="25"/>
        <v>155.56</v>
      </c>
      <c r="K97" s="212">
        <f t="shared" si="22"/>
        <v>155.56</v>
      </c>
      <c r="L97" s="212">
        <f t="shared" si="22"/>
        <v>155.56</v>
      </c>
      <c r="M97" s="212">
        <f t="shared" si="22"/>
        <v>155.56</v>
      </c>
      <c r="N97" s="212">
        <f t="shared" si="22"/>
        <v>155.56</v>
      </c>
      <c r="O97" s="212">
        <f t="shared" si="22"/>
        <v>155.56</v>
      </c>
      <c r="P97" s="212">
        <f t="shared" si="22"/>
        <v>155.56</v>
      </c>
      <c r="Q97" s="212">
        <f t="shared" si="22"/>
        <v>155.56</v>
      </c>
      <c r="R97" s="212">
        <f t="shared" si="22"/>
        <v>155.56</v>
      </c>
      <c r="S97" s="212">
        <f t="shared" si="22"/>
        <v>155.56</v>
      </c>
      <c r="T97" s="212">
        <f t="shared" si="22"/>
        <v>155.56</v>
      </c>
      <c r="U97" s="212">
        <f t="shared" si="22"/>
        <v>155.56</v>
      </c>
      <c r="V97" s="211">
        <f t="shared" si="28"/>
        <v>1866.7199999999996</v>
      </c>
      <c r="W97" s="259">
        <f t="shared" si="21"/>
        <v>777.82000000000312</v>
      </c>
      <c r="X97" s="353"/>
      <c r="Y97" s="226"/>
      <c r="Z97" s="226"/>
      <c r="AA97" s="226"/>
      <c r="AB97" s="226"/>
      <c r="AC97" s="226"/>
    </row>
    <row r="98" spans="1:29" s="225" customFormat="1">
      <c r="A98" s="205">
        <v>7242</v>
      </c>
      <c r="B98" s="205">
        <f t="shared" si="26"/>
        <v>68755.570000000007</v>
      </c>
      <c r="C98" s="205">
        <f t="shared" si="23"/>
        <v>120.7</v>
      </c>
      <c r="D98" s="206">
        <v>2172.5999999999985</v>
      </c>
      <c r="E98" s="207">
        <v>44743</v>
      </c>
      <c r="F98" s="208"/>
      <c r="G98" s="208"/>
      <c r="H98" s="209">
        <f t="shared" si="27"/>
        <v>120.7</v>
      </c>
      <c r="I98" s="364">
        <v>42917</v>
      </c>
      <c r="J98" s="210">
        <f t="shared" si="25"/>
        <v>120.7</v>
      </c>
      <c r="K98" s="212">
        <f t="shared" si="22"/>
        <v>120.7</v>
      </c>
      <c r="L98" s="212">
        <f t="shared" si="22"/>
        <v>120.7</v>
      </c>
      <c r="M98" s="212">
        <f t="shared" si="22"/>
        <v>120.7</v>
      </c>
      <c r="N98" s="212">
        <f t="shared" si="22"/>
        <v>120.7</v>
      </c>
      <c r="O98" s="212">
        <f t="shared" si="22"/>
        <v>120.7</v>
      </c>
      <c r="P98" s="212">
        <f t="shared" si="22"/>
        <v>120.7</v>
      </c>
      <c r="Q98" s="212">
        <f t="shared" si="22"/>
        <v>120.7</v>
      </c>
      <c r="R98" s="212">
        <f t="shared" si="22"/>
        <v>120.7</v>
      </c>
      <c r="S98" s="212">
        <f t="shared" si="22"/>
        <v>120.7</v>
      </c>
      <c r="T98" s="212">
        <f t="shared" si="22"/>
        <v>120.7</v>
      </c>
      <c r="U98" s="212">
        <f t="shared" si="22"/>
        <v>120.7</v>
      </c>
      <c r="V98" s="211">
        <f t="shared" si="28"/>
        <v>1448.4000000000003</v>
      </c>
      <c r="W98" s="259">
        <f t="shared" si="21"/>
        <v>724.19999999999823</v>
      </c>
      <c r="X98" s="353"/>
      <c r="Y98" s="226"/>
      <c r="Z98" s="226"/>
      <c r="AA98" s="226"/>
      <c r="AB98" s="226"/>
      <c r="AC98" s="226"/>
    </row>
    <row r="99" spans="1:29" s="225" customFormat="1">
      <c r="A99" s="205">
        <v>4274.72</v>
      </c>
      <c r="B99" s="205">
        <f t="shared" si="26"/>
        <v>73030.290000000008</v>
      </c>
      <c r="C99" s="205">
        <f t="shared" si="23"/>
        <v>71.245333333333335</v>
      </c>
      <c r="D99" s="206">
        <v>1353.4700000000003</v>
      </c>
      <c r="E99" s="207">
        <v>44774</v>
      </c>
      <c r="F99" s="208"/>
      <c r="G99" s="208"/>
      <c r="H99" s="209">
        <f t="shared" si="27"/>
        <v>71.25</v>
      </c>
      <c r="I99" s="364">
        <v>42948</v>
      </c>
      <c r="J99" s="210">
        <f t="shared" si="25"/>
        <v>71.25</v>
      </c>
      <c r="K99" s="212">
        <f t="shared" si="22"/>
        <v>71.25</v>
      </c>
      <c r="L99" s="212">
        <f t="shared" si="22"/>
        <v>71.25</v>
      </c>
      <c r="M99" s="212">
        <f t="shared" si="22"/>
        <v>71.25</v>
      </c>
      <c r="N99" s="212">
        <f t="shared" si="22"/>
        <v>71.25</v>
      </c>
      <c r="O99" s="212">
        <f t="shared" si="22"/>
        <v>71.25</v>
      </c>
      <c r="P99" s="212">
        <f t="shared" si="22"/>
        <v>71.25</v>
      </c>
      <c r="Q99" s="212">
        <f t="shared" si="22"/>
        <v>71.25</v>
      </c>
      <c r="R99" s="212">
        <f t="shared" si="22"/>
        <v>71.25</v>
      </c>
      <c r="S99" s="212">
        <f t="shared" si="22"/>
        <v>71.25</v>
      </c>
      <c r="T99" s="212">
        <f t="shared" si="22"/>
        <v>71.25</v>
      </c>
      <c r="U99" s="212">
        <f t="shared" si="22"/>
        <v>71.25</v>
      </c>
      <c r="V99" s="211">
        <f t="shared" si="28"/>
        <v>855</v>
      </c>
      <c r="W99" s="259">
        <f t="shared" si="21"/>
        <v>498.47000000000025</v>
      </c>
      <c r="X99" s="353"/>
      <c r="Y99" s="226"/>
      <c r="Z99" s="226"/>
      <c r="AA99" s="226"/>
      <c r="AB99" s="226"/>
      <c r="AC99" s="226"/>
    </row>
    <row r="100" spans="1:29" s="225" customFormat="1">
      <c r="A100" s="205">
        <v>2167.1999999999998</v>
      </c>
      <c r="B100" s="205">
        <f>B99+A100</f>
        <v>75197.490000000005</v>
      </c>
      <c r="C100" s="205">
        <f t="shared" si="23"/>
        <v>36.119999999999997</v>
      </c>
      <c r="D100" s="206">
        <v>722.39999999999964</v>
      </c>
      <c r="E100" s="207">
        <v>44805</v>
      </c>
      <c r="F100" s="208"/>
      <c r="G100" s="208"/>
      <c r="H100" s="209">
        <f t="shared" si="27"/>
        <v>36.119999999999997</v>
      </c>
      <c r="I100" s="364">
        <v>42979</v>
      </c>
      <c r="J100" s="210">
        <f t="shared" si="25"/>
        <v>36.119999999999997</v>
      </c>
      <c r="K100" s="212">
        <f t="shared" si="22"/>
        <v>36.119999999999997</v>
      </c>
      <c r="L100" s="212">
        <f t="shared" si="22"/>
        <v>36.119999999999997</v>
      </c>
      <c r="M100" s="212">
        <f t="shared" si="22"/>
        <v>36.119999999999997</v>
      </c>
      <c r="N100" s="212">
        <f t="shared" si="22"/>
        <v>36.119999999999997</v>
      </c>
      <c r="O100" s="212">
        <f t="shared" si="22"/>
        <v>36.119999999999997</v>
      </c>
      <c r="P100" s="212">
        <f t="shared" si="22"/>
        <v>36.119999999999997</v>
      </c>
      <c r="Q100" s="212">
        <f t="shared" si="22"/>
        <v>36.119999999999997</v>
      </c>
      <c r="R100" s="212">
        <f t="shared" si="22"/>
        <v>36.119999999999997</v>
      </c>
      <c r="S100" s="212">
        <f t="shared" si="22"/>
        <v>36.119999999999997</v>
      </c>
      <c r="T100" s="212">
        <f t="shared" si="22"/>
        <v>36.119999999999997</v>
      </c>
      <c r="U100" s="212">
        <f t="shared" si="22"/>
        <v>36.119999999999997</v>
      </c>
      <c r="V100" s="211">
        <f t="shared" si="28"/>
        <v>433.44</v>
      </c>
      <c r="W100" s="259">
        <f t="shared" si="21"/>
        <v>288.95999999999964</v>
      </c>
      <c r="X100" s="353"/>
      <c r="Y100" s="226"/>
      <c r="Z100" s="226"/>
      <c r="AA100" s="226"/>
      <c r="AB100" s="226"/>
      <c r="AC100" s="226"/>
    </row>
    <row r="101" spans="1:29" s="225" customFormat="1">
      <c r="A101" s="205">
        <v>21552.41</v>
      </c>
      <c r="B101" s="205">
        <f>B100+A101</f>
        <v>96749.900000000009</v>
      </c>
      <c r="C101" s="205">
        <f t="shared" si="23"/>
        <v>359.20683333333335</v>
      </c>
      <c r="D101" s="206">
        <v>7543.2199999999984</v>
      </c>
      <c r="E101" s="207">
        <v>44835</v>
      </c>
      <c r="F101" s="208"/>
      <c r="G101" s="208"/>
      <c r="H101" s="209">
        <f t="shared" si="27"/>
        <v>359.21</v>
      </c>
      <c r="I101" s="364">
        <v>43009</v>
      </c>
      <c r="J101" s="210">
        <f t="shared" si="25"/>
        <v>359.21</v>
      </c>
      <c r="K101" s="212">
        <f t="shared" si="22"/>
        <v>359.21</v>
      </c>
      <c r="L101" s="212">
        <f t="shared" si="22"/>
        <v>359.21</v>
      </c>
      <c r="M101" s="212">
        <f t="shared" si="22"/>
        <v>359.21</v>
      </c>
      <c r="N101" s="212">
        <f t="shared" si="22"/>
        <v>359.21</v>
      </c>
      <c r="O101" s="212">
        <f t="shared" si="22"/>
        <v>359.21</v>
      </c>
      <c r="P101" s="212">
        <f t="shared" si="22"/>
        <v>359.21</v>
      </c>
      <c r="Q101" s="212">
        <f t="shared" si="22"/>
        <v>359.21</v>
      </c>
      <c r="R101" s="212">
        <f t="shared" si="22"/>
        <v>359.21</v>
      </c>
      <c r="S101" s="212">
        <f t="shared" si="22"/>
        <v>359.21</v>
      </c>
      <c r="T101" s="212">
        <f t="shared" si="22"/>
        <v>359.21</v>
      </c>
      <c r="U101" s="212">
        <f t="shared" si="22"/>
        <v>359.21</v>
      </c>
      <c r="V101" s="211">
        <f t="shared" si="28"/>
        <v>4310.5199999999995</v>
      </c>
      <c r="W101" s="259">
        <f t="shared" si="21"/>
        <v>3232.6999999999989</v>
      </c>
      <c r="X101" s="353"/>
      <c r="Y101" s="226"/>
      <c r="Z101" s="226"/>
      <c r="AA101" s="226"/>
      <c r="AB101" s="226"/>
      <c r="AC101" s="226"/>
    </row>
    <row r="102" spans="1:29" s="225" customFormat="1">
      <c r="A102" s="205">
        <v>2674.54</v>
      </c>
      <c r="B102" s="205">
        <f>B101+A102</f>
        <v>99424.44</v>
      </c>
      <c r="C102" s="205">
        <f t="shared" si="23"/>
        <v>44.575666666666663</v>
      </c>
      <c r="D102" s="206">
        <v>980.50000000000011</v>
      </c>
      <c r="E102" s="207">
        <v>44866</v>
      </c>
      <c r="F102" s="208"/>
      <c r="G102" s="208"/>
      <c r="H102" s="209">
        <f t="shared" si="27"/>
        <v>44.58</v>
      </c>
      <c r="I102" s="364">
        <v>43040</v>
      </c>
      <c r="J102" s="210">
        <f t="shared" si="25"/>
        <v>44.58</v>
      </c>
      <c r="K102" s="212">
        <f t="shared" si="22"/>
        <v>44.58</v>
      </c>
      <c r="L102" s="212">
        <f t="shared" si="22"/>
        <v>44.58</v>
      </c>
      <c r="M102" s="212">
        <f t="shared" si="22"/>
        <v>44.58</v>
      </c>
      <c r="N102" s="212">
        <f t="shared" si="22"/>
        <v>44.58</v>
      </c>
      <c r="O102" s="212">
        <f t="shared" si="22"/>
        <v>44.58</v>
      </c>
      <c r="P102" s="212">
        <f t="shared" si="22"/>
        <v>44.58</v>
      </c>
      <c r="Q102" s="212">
        <f t="shared" si="22"/>
        <v>44.58</v>
      </c>
      <c r="R102" s="212">
        <f t="shared" si="22"/>
        <v>44.58</v>
      </c>
      <c r="S102" s="212">
        <f t="shared" si="22"/>
        <v>44.58</v>
      </c>
      <c r="T102" s="212">
        <f t="shared" si="22"/>
        <v>44.58</v>
      </c>
      <c r="U102" s="212">
        <f t="shared" si="22"/>
        <v>44.58</v>
      </c>
      <c r="V102" s="211">
        <f t="shared" si="28"/>
        <v>534.95999999999992</v>
      </c>
      <c r="W102" s="259">
        <f t="shared" si="21"/>
        <v>445.54000000000019</v>
      </c>
      <c r="X102" s="353"/>
      <c r="Y102" s="226"/>
      <c r="Z102" s="226"/>
      <c r="AA102" s="226"/>
      <c r="AB102" s="226"/>
      <c r="AC102" s="226"/>
    </row>
    <row r="103" spans="1:29" s="225" customFormat="1">
      <c r="A103" s="205">
        <v>10714.12</v>
      </c>
      <c r="B103" s="205">
        <f>B102+A103</f>
        <v>110138.56</v>
      </c>
      <c r="C103" s="205">
        <f t="shared" si="23"/>
        <v>178.56866666666667</v>
      </c>
      <c r="D103" s="206">
        <v>3928.4600000000014</v>
      </c>
      <c r="E103" s="207">
        <v>44866</v>
      </c>
      <c r="F103" s="208"/>
      <c r="G103" s="208"/>
      <c r="H103" s="209">
        <f t="shared" si="27"/>
        <v>178.57</v>
      </c>
      <c r="I103" s="364">
        <v>43040</v>
      </c>
      <c r="J103" s="210">
        <f t="shared" si="25"/>
        <v>178.57</v>
      </c>
      <c r="K103" s="212">
        <f t="shared" si="22"/>
        <v>178.57</v>
      </c>
      <c r="L103" s="212">
        <f t="shared" si="22"/>
        <v>178.57</v>
      </c>
      <c r="M103" s="212">
        <f t="shared" si="22"/>
        <v>178.57</v>
      </c>
      <c r="N103" s="212">
        <f t="shared" si="22"/>
        <v>178.57</v>
      </c>
      <c r="O103" s="212">
        <f t="shared" si="22"/>
        <v>178.57</v>
      </c>
      <c r="P103" s="212">
        <f t="shared" si="22"/>
        <v>178.57</v>
      </c>
      <c r="Q103" s="212">
        <f t="shared" si="22"/>
        <v>178.57</v>
      </c>
      <c r="R103" s="212">
        <f t="shared" si="22"/>
        <v>178.57</v>
      </c>
      <c r="S103" s="212">
        <f t="shared" si="22"/>
        <v>178.57</v>
      </c>
      <c r="T103" s="212">
        <f t="shared" si="22"/>
        <v>178.57</v>
      </c>
      <c r="U103" s="212">
        <f t="shared" si="22"/>
        <v>178.57</v>
      </c>
      <c r="V103" s="211">
        <f t="shared" si="28"/>
        <v>2142.8399999999997</v>
      </c>
      <c r="W103" s="259">
        <f t="shared" si="21"/>
        <v>1785.6200000000017</v>
      </c>
      <c r="X103" s="353"/>
      <c r="Y103" s="226"/>
      <c r="Z103" s="226"/>
      <c r="AA103" s="226"/>
      <c r="AB103" s="226"/>
      <c r="AC103" s="226"/>
    </row>
    <row r="104" spans="1:29" s="225" customFormat="1">
      <c r="A104" s="338">
        <v>4900</v>
      </c>
      <c r="B104" s="338">
        <f>B103+A104</f>
        <v>115038.56</v>
      </c>
      <c r="C104" s="338">
        <f t="shared" si="23"/>
        <v>81.666666666666671</v>
      </c>
      <c r="D104" s="339">
        <v>1699.6400000000003</v>
      </c>
      <c r="E104" s="340">
        <v>44896</v>
      </c>
      <c r="F104" s="341"/>
      <c r="G104" s="341"/>
      <c r="H104" s="342">
        <f t="shared" si="27"/>
        <v>81.67</v>
      </c>
      <c r="I104" s="365">
        <v>43070</v>
      </c>
      <c r="J104" s="343">
        <f t="shared" si="25"/>
        <v>81.67</v>
      </c>
      <c r="K104" s="343">
        <f t="shared" si="22"/>
        <v>81.67</v>
      </c>
      <c r="L104" s="343">
        <f t="shared" si="22"/>
        <v>81.67</v>
      </c>
      <c r="M104" s="343">
        <f t="shared" si="22"/>
        <v>81.67</v>
      </c>
      <c r="N104" s="343">
        <f t="shared" si="22"/>
        <v>81.67</v>
      </c>
      <c r="O104" s="343">
        <f t="shared" si="22"/>
        <v>81.67</v>
      </c>
      <c r="P104" s="343">
        <f t="shared" si="22"/>
        <v>81.67</v>
      </c>
      <c r="Q104" s="343">
        <f t="shared" si="22"/>
        <v>81.67</v>
      </c>
      <c r="R104" s="343">
        <f t="shared" si="22"/>
        <v>81.67</v>
      </c>
      <c r="S104" s="343">
        <f t="shared" si="22"/>
        <v>81.67</v>
      </c>
      <c r="T104" s="343">
        <f t="shared" si="22"/>
        <v>81.67</v>
      </c>
      <c r="U104" s="343">
        <f t="shared" si="22"/>
        <v>81.67</v>
      </c>
      <c r="V104" s="344">
        <f>SUM(J104:U104)</f>
        <v>980.03999999999985</v>
      </c>
      <c r="W104" s="330">
        <f t="shared" si="21"/>
        <v>719.60000000000048</v>
      </c>
      <c r="X104" s="353"/>
      <c r="Y104" s="226"/>
      <c r="Z104" s="226"/>
      <c r="AA104" s="226"/>
      <c r="AB104" s="226"/>
      <c r="AC104" s="226"/>
    </row>
    <row r="105" spans="1:29" s="225" customFormat="1">
      <c r="A105" s="205">
        <v>8556.2900000000009</v>
      </c>
      <c r="B105" s="205">
        <f>A105</f>
        <v>8556.2900000000009</v>
      </c>
      <c r="C105" s="205">
        <f t="shared" si="23"/>
        <v>142.60483333333335</v>
      </c>
      <c r="D105" s="206">
        <v>3422.685166666668</v>
      </c>
      <c r="E105" s="207">
        <v>44927</v>
      </c>
      <c r="F105" s="208"/>
      <c r="G105" s="208"/>
      <c r="H105" s="209">
        <f t="shared" si="27"/>
        <v>142.6</v>
      </c>
      <c r="I105" s="364">
        <v>43101</v>
      </c>
      <c r="J105" s="210">
        <f t="shared" si="25"/>
        <v>142.6</v>
      </c>
      <c r="K105" s="212">
        <f t="shared" si="22"/>
        <v>142.6</v>
      </c>
      <c r="L105" s="212">
        <f t="shared" si="22"/>
        <v>142.6</v>
      </c>
      <c r="M105" s="212">
        <f t="shared" si="22"/>
        <v>142.6</v>
      </c>
      <c r="N105" s="212">
        <f t="shared" si="22"/>
        <v>142.6</v>
      </c>
      <c r="O105" s="212">
        <f t="shared" si="22"/>
        <v>142.6</v>
      </c>
      <c r="P105" s="212">
        <f t="shared" si="22"/>
        <v>142.6</v>
      </c>
      <c r="Q105" s="212">
        <f t="shared" si="22"/>
        <v>142.6</v>
      </c>
      <c r="R105" s="212">
        <f t="shared" si="22"/>
        <v>142.6</v>
      </c>
      <c r="S105" s="212">
        <f t="shared" si="22"/>
        <v>142.6</v>
      </c>
      <c r="T105" s="212">
        <f t="shared" si="22"/>
        <v>142.6</v>
      </c>
      <c r="U105" s="212">
        <f t="shared" si="22"/>
        <v>142.6</v>
      </c>
      <c r="V105" s="211">
        <f t="shared" si="28"/>
        <v>1711.1999999999996</v>
      </c>
      <c r="W105" s="259">
        <f t="shared" si="21"/>
        <v>1711.4851666666684</v>
      </c>
      <c r="X105" s="353"/>
      <c r="Y105" s="226"/>
      <c r="Z105" s="226"/>
      <c r="AA105" s="226"/>
      <c r="AB105" s="226"/>
      <c r="AC105" s="226"/>
    </row>
    <row r="106" spans="1:29" s="225" customFormat="1">
      <c r="A106" s="205">
        <v>13847.02</v>
      </c>
      <c r="B106" s="205">
        <f t="shared" ref="B106:B119" si="29">+B105+A106</f>
        <v>22403.31</v>
      </c>
      <c r="C106" s="205">
        <f t="shared" si="23"/>
        <v>230.78366666666668</v>
      </c>
      <c r="D106" s="206">
        <v>5769.7163333333319</v>
      </c>
      <c r="E106" s="207">
        <v>44958</v>
      </c>
      <c r="F106" s="208"/>
      <c r="G106" s="208"/>
      <c r="H106" s="209">
        <f t="shared" si="27"/>
        <v>230.78</v>
      </c>
      <c r="I106" s="364">
        <v>43132</v>
      </c>
      <c r="J106" s="210">
        <f t="shared" si="25"/>
        <v>230.78</v>
      </c>
      <c r="K106" s="212">
        <f t="shared" si="22"/>
        <v>230.78</v>
      </c>
      <c r="L106" s="212">
        <f t="shared" si="22"/>
        <v>230.78</v>
      </c>
      <c r="M106" s="212">
        <f t="shared" si="22"/>
        <v>230.78</v>
      </c>
      <c r="N106" s="212">
        <f t="shared" si="22"/>
        <v>230.78</v>
      </c>
      <c r="O106" s="212">
        <f t="shared" si="22"/>
        <v>230.78</v>
      </c>
      <c r="P106" s="212">
        <f t="shared" si="22"/>
        <v>230.78</v>
      </c>
      <c r="Q106" s="212">
        <f t="shared" si="22"/>
        <v>230.78</v>
      </c>
      <c r="R106" s="212">
        <f t="shared" si="22"/>
        <v>230.78</v>
      </c>
      <c r="S106" s="212">
        <f t="shared" si="22"/>
        <v>230.78</v>
      </c>
      <c r="T106" s="212">
        <f t="shared" si="22"/>
        <v>230.78</v>
      </c>
      <c r="U106" s="212">
        <f t="shared" si="22"/>
        <v>230.78</v>
      </c>
      <c r="V106" s="211">
        <f t="shared" si="28"/>
        <v>2769.3600000000006</v>
      </c>
      <c r="W106" s="259">
        <f t="shared" si="21"/>
        <v>3000.3563333333313</v>
      </c>
      <c r="X106" s="353"/>
      <c r="Y106" s="226"/>
      <c r="Z106" s="226"/>
      <c r="AA106" s="226"/>
      <c r="AB106" s="226"/>
      <c r="AC106" s="226"/>
    </row>
    <row r="107" spans="1:29" s="225" customFormat="1">
      <c r="A107" s="205">
        <v>3485.05</v>
      </c>
      <c r="B107" s="205">
        <f t="shared" si="29"/>
        <v>25888.36</v>
      </c>
      <c r="C107" s="205">
        <f t="shared" si="23"/>
        <v>58.084166666666668</v>
      </c>
      <c r="D107" s="206">
        <v>1510.33</v>
      </c>
      <c r="E107" s="207">
        <v>44986</v>
      </c>
      <c r="F107" s="208"/>
      <c r="G107" s="208"/>
      <c r="H107" s="209">
        <f t="shared" si="27"/>
        <v>58.08</v>
      </c>
      <c r="I107" s="364">
        <v>43160</v>
      </c>
      <c r="J107" s="210">
        <f t="shared" si="25"/>
        <v>58.08</v>
      </c>
      <c r="K107" s="212">
        <f t="shared" si="22"/>
        <v>58.08</v>
      </c>
      <c r="L107" s="212">
        <f t="shared" si="22"/>
        <v>58.08</v>
      </c>
      <c r="M107" s="212">
        <f t="shared" si="22"/>
        <v>58.08</v>
      </c>
      <c r="N107" s="212">
        <f t="shared" si="22"/>
        <v>58.08</v>
      </c>
      <c r="O107" s="212">
        <f t="shared" si="22"/>
        <v>58.08</v>
      </c>
      <c r="P107" s="212">
        <f t="shared" si="22"/>
        <v>58.08</v>
      </c>
      <c r="Q107" s="212">
        <f t="shared" si="22"/>
        <v>58.08</v>
      </c>
      <c r="R107" s="212">
        <f t="shared" si="22"/>
        <v>58.08</v>
      </c>
      <c r="S107" s="212">
        <f t="shared" si="22"/>
        <v>58.08</v>
      </c>
      <c r="T107" s="212">
        <f t="shared" si="22"/>
        <v>58.08</v>
      </c>
      <c r="U107" s="212">
        <f t="shared" si="22"/>
        <v>58.08</v>
      </c>
      <c r="V107" s="211">
        <f t="shared" si="28"/>
        <v>696.96</v>
      </c>
      <c r="W107" s="259">
        <f t="shared" si="21"/>
        <v>813.36999999999989</v>
      </c>
      <c r="X107" s="353"/>
      <c r="Y107" s="226"/>
      <c r="Z107" s="226"/>
      <c r="AA107" s="226"/>
      <c r="AB107" s="226"/>
      <c r="AC107" s="226"/>
    </row>
    <row r="108" spans="1:29" s="225" customFormat="1">
      <c r="A108" s="205">
        <v>16807.28</v>
      </c>
      <c r="B108" s="205">
        <f t="shared" si="29"/>
        <v>42695.64</v>
      </c>
      <c r="C108" s="205">
        <f t="shared" si="23"/>
        <v>280.12133333333333</v>
      </c>
      <c r="D108" s="206">
        <v>7563.3200000000015</v>
      </c>
      <c r="E108" s="207">
        <v>45017</v>
      </c>
      <c r="F108" s="208"/>
      <c r="G108" s="208"/>
      <c r="H108" s="209">
        <f t="shared" si="27"/>
        <v>280.12</v>
      </c>
      <c r="I108" s="364">
        <v>43191</v>
      </c>
      <c r="J108" s="210">
        <f t="shared" si="25"/>
        <v>280.12</v>
      </c>
      <c r="K108" s="212">
        <f t="shared" si="22"/>
        <v>280.12</v>
      </c>
      <c r="L108" s="212">
        <f t="shared" si="22"/>
        <v>280.12</v>
      </c>
      <c r="M108" s="212">
        <f t="shared" si="22"/>
        <v>280.12</v>
      </c>
      <c r="N108" s="212">
        <f t="shared" si="22"/>
        <v>280.12</v>
      </c>
      <c r="O108" s="212">
        <f t="shared" si="22"/>
        <v>280.12</v>
      </c>
      <c r="P108" s="212">
        <f t="shared" si="22"/>
        <v>280.12</v>
      </c>
      <c r="Q108" s="212">
        <f t="shared" si="22"/>
        <v>280.12</v>
      </c>
      <c r="R108" s="212">
        <f t="shared" ref="R108:U140" si="30">IF(R$7&lt;$I108,"",IF(R$7=$I108,+$C108,IF(R$7&lt;=$E108,+(ROUND(($A108-$C108)/59,2)),"- - DONE - -")))</f>
        <v>280.12</v>
      </c>
      <c r="S108" s="212">
        <f t="shared" si="30"/>
        <v>280.12</v>
      </c>
      <c r="T108" s="212">
        <f t="shared" si="30"/>
        <v>280.12</v>
      </c>
      <c r="U108" s="212">
        <f t="shared" si="30"/>
        <v>280.12</v>
      </c>
      <c r="V108" s="211">
        <f t="shared" si="28"/>
        <v>3361.4399999999991</v>
      </c>
      <c r="W108" s="259">
        <f t="shared" si="21"/>
        <v>4201.8800000000028</v>
      </c>
      <c r="X108" s="353"/>
      <c r="Y108" s="226"/>
      <c r="Z108" s="226"/>
      <c r="AA108" s="226"/>
      <c r="AB108" s="226"/>
      <c r="AC108" s="226"/>
    </row>
    <row r="109" spans="1:29" s="225" customFormat="1">
      <c r="A109" s="205">
        <v>19955</v>
      </c>
      <c r="B109" s="205">
        <f t="shared" si="29"/>
        <v>62650.64</v>
      </c>
      <c r="C109" s="205">
        <f t="shared" si="23"/>
        <v>332.58333333333331</v>
      </c>
      <c r="D109" s="206">
        <v>9312.4400000000023</v>
      </c>
      <c r="E109" s="207">
        <v>45047</v>
      </c>
      <c r="F109" s="208"/>
      <c r="G109" s="208"/>
      <c r="H109" s="209">
        <f t="shared" si="27"/>
        <v>332.58</v>
      </c>
      <c r="I109" s="364">
        <v>43221</v>
      </c>
      <c r="J109" s="210">
        <f t="shared" si="25"/>
        <v>332.58</v>
      </c>
      <c r="K109" s="212">
        <f t="shared" ref="K109:Q134" si="31">IF(K$7&lt;$I109,"",IF(K$7=$I109,+$C109,IF(K$7&lt;=$E109,+(ROUND(($A109-$C109)/59,2)),"- - DONE - -")))</f>
        <v>332.58</v>
      </c>
      <c r="L109" s="212">
        <f t="shared" si="31"/>
        <v>332.58</v>
      </c>
      <c r="M109" s="212">
        <f t="shared" si="31"/>
        <v>332.58</v>
      </c>
      <c r="N109" s="212">
        <f t="shared" si="31"/>
        <v>332.58</v>
      </c>
      <c r="O109" s="212">
        <f t="shared" si="31"/>
        <v>332.58</v>
      </c>
      <c r="P109" s="212">
        <f t="shared" si="31"/>
        <v>332.58</v>
      </c>
      <c r="Q109" s="212">
        <f t="shared" si="31"/>
        <v>332.58</v>
      </c>
      <c r="R109" s="212">
        <f t="shared" si="30"/>
        <v>332.58</v>
      </c>
      <c r="S109" s="212">
        <f t="shared" si="30"/>
        <v>332.58</v>
      </c>
      <c r="T109" s="212">
        <f t="shared" si="30"/>
        <v>332.58</v>
      </c>
      <c r="U109" s="212">
        <f t="shared" si="30"/>
        <v>332.58</v>
      </c>
      <c r="V109" s="211">
        <f t="shared" si="28"/>
        <v>3990.9599999999996</v>
      </c>
      <c r="W109" s="259">
        <f t="shared" si="21"/>
        <v>5321.4800000000032</v>
      </c>
      <c r="X109" s="353"/>
      <c r="Y109" s="226"/>
      <c r="Z109" s="226"/>
      <c r="AA109" s="226"/>
      <c r="AB109" s="226"/>
      <c r="AC109" s="226"/>
    </row>
    <row r="110" spans="1:29" s="225" customFormat="1">
      <c r="A110" s="205">
        <v>19619.38</v>
      </c>
      <c r="B110" s="205">
        <f t="shared" si="29"/>
        <v>82270.02</v>
      </c>
      <c r="C110" s="205">
        <f t="shared" si="23"/>
        <v>326.98966666666666</v>
      </c>
      <c r="D110" s="206">
        <v>9482.6900000000023</v>
      </c>
      <c r="E110" s="207">
        <v>45078</v>
      </c>
      <c r="F110" s="208"/>
      <c r="G110" s="208"/>
      <c r="H110" s="209">
        <f t="shared" si="27"/>
        <v>326.99</v>
      </c>
      <c r="I110" s="364">
        <v>43252</v>
      </c>
      <c r="J110" s="210">
        <f t="shared" si="25"/>
        <v>326.99</v>
      </c>
      <c r="K110" s="212">
        <f t="shared" si="31"/>
        <v>326.99</v>
      </c>
      <c r="L110" s="212">
        <f t="shared" si="31"/>
        <v>326.99</v>
      </c>
      <c r="M110" s="212">
        <f t="shared" si="31"/>
        <v>326.99</v>
      </c>
      <c r="N110" s="212">
        <f t="shared" si="31"/>
        <v>326.99</v>
      </c>
      <c r="O110" s="212">
        <f t="shared" si="31"/>
        <v>326.99</v>
      </c>
      <c r="P110" s="212">
        <f t="shared" si="31"/>
        <v>326.99</v>
      </c>
      <c r="Q110" s="212">
        <f t="shared" si="31"/>
        <v>326.99</v>
      </c>
      <c r="R110" s="212">
        <f t="shared" si="30"/>
        <v>326.99</v>
      </c>
      <c r="S110" s="212">
        <f t="shared" si="30"/>
        <v>326.99</v>
      </c>
      <c r="T110" s="212">
        <f t="shared" si="30"/>
        <v>326.99</v>
      </c>
      <c r="U110" s="212">
        <f t="shared" si="30"/>
        <v>326.99</v>
      </c>
      <c r="V110" s="211">
        <f t="shared" si="28"/>
        <v>3923.8799999999992</v>
      </c>
      <c r="W110" s="259">
        <f t="shared" si="21"/>
        <v>5558.8100000000031</v>
      </c>
      <c r="X110" s="353"/>
      <c r="Y110" s="226"/>
      <c r="Z110" s="226"/>
      <c r="AA110" s="226"/>
      <c r="AB110" s="226"/>
      <c r="AC110" s="226"/>
    </row>
    <row r="111" spans="1:29" s="225" customFormat="1">
      <c r="A111" s="205">
        <v>12854.69</v>
      </c>
      <c r="B111" s="205">
        <f t="shared" si="29"/>
        <v>95124.71</v>
      </c>
      <c r="C111" s="205">
        <f t="shared" si="23"/>
        <v>214.24483333333333</v>
      </c>
      <c r="D111" s="206">
        <v>6427.4899999999989</v>
      </c>
      <c r="E111" s="207">
        <v>45108</v>
      </c>
      <c r="F111" s="208"/>
      <c r="G111" s="208"/>
      <c r="H111" s="209">
        <f t="shared" si="27"/>
        <v>214.24</v>
      </c>
      <c r="I111" s="364">
        <v>43282</v>
      </c>
      <c r="J111" s="210">
        <f t="shared" si="25"/>
        <v>214.24</v>
      </c>
      <c r="K111" s="212">
        <f t="shared" si="31"/>
        <v>214.24</v>
      </c>
      <c r="L111" s="212">
        <f t="shared" si="31"/>
        <v>214.24</v>
      </c>
      <c r="M111" s="212">
        <f t="shared" si="31"/>
        <v>214.24</v>
      </c>
      <c r="N111" s="212">
        <f t="shared" si="31"/>
        <v>214.24</v>
      </c>
      <c r="O111" s="212">
        <f t="shared" si="31"/>
        <v>214.24</v>
      </c>
      <c r="P111" s="212">
        <f t="shared" si="31"/>
        <v>214.24</v>
      </c>
      <c r="Q111" s="212">
        <f t="shared" si="31"/>
        <v>214.24</v>
      </c>
      <c r="R111" s="212">
        <f t="shared" si="30"/>
        <v>214.24</v>
      </c>
      <c r="S111" s="212">
        <f t="shared" si="30"/>
        <v>214.24</v>
      </c>
      <c r="T111" s="212">
        <f t="shared" si="30"/>
        <v>214.24</v>
      </c>
      <c r="U111" s="212">
        <f t="shared" si="30"/>
        <v>214.24</v>
      </c>
      <c r="V111" s="211">
        <f t="shared" si="28"/>
        <v>2570.88</v>
      </c>
      <c r="W111" s="259">
        <f t="shared" si="21"/>
        <v>3856.6099999999988</v>
      </c>
      <c r="X111" s="353"/>
      <c r="Y111" s="226"/>
      <c r="Z111" s="226"/>
      <c r="AA111" s="226"/>
      <c r="AB111" s="226"/>
      <c r="AC111" s="226"/>
    </row>
    <row r="112" spans="1:29" s="225" customFormat="1">
      <c r="A112" s="205">
        <v>7475</v>
      </c>
      <c r="B112" s="205">
        <f t="shared" si="29"/>
        <v>102599.71</v>
      </c>
      <c r="C112" s="205">
        <f t="shared" si="23"/>
        <v>124.58333333333333</v>
      </c>
      <c r="D112" s="206">
        <v>3862.1800000000003</v>
      </c>
      <c r="E112" s="207">
        <v>45139</v>
      </c>
      <c r="F112" s="208"/>
      <c r="G112" s="208"/>
      <c r="H112" s="209">
        <f t="shared" si="27"/>
        <v>124.58</v>
      </c>
      <c r="I112" s="364">
        <v>43313</v>
      </c>
      <c r="J112" s="210">
        <f t="shared" si="25"/>
        <v>124.58</v>
      </c>
      <c r="K112" s="212">
        <f t="shared" si="31"/>
        <v>124.58</v>
      </c>
      <c r="L112" s="212">
        <f t="shared" si="31"/>
        <v>124.58</v>
      </c>
      <c r="M112" s="212">
        <f t="shared" si="31"/>
        <v>124.58</v>
      </c>
      <c r="N112" s="212">
        <f t="shared" si="31"/>
        <v>124.58</v>
      </c>
      <c r="O112" s="212">
        <f t="shared" si="31"/>
        <v>124.58</v>
      </c>
      <c r="P112" s="212">
        <f t="shared" si="31"/>
        <v>124.58</v>
      </c>
      <c r="Q112" s="212">
        <f t="shared" si="31"/>
        <v>124.58</v>
      </c>
      <c r="R112" s="212">
        <f t="shared" si="30"/>
        <v>124.58</v>
      </c>
      <c r="S112" s="212">
        <f t="shared" si="30"/>
        <v>124.58</v>
      </c>
      <c r="T112" s="212">
        <f t="shared" si="30"/>
        <v>124.58</v>
      </c>
      <c r="U112" s="212">
        <f t="shared" si="30"/>
        <v>124.58</v>
      </c>
      <c r="V112" s="211">
        <f t="shared" si="28"/>
        <v>1494.9599999999998</v>
      </c>
      <c r="W112" s="259">
        <f t="shared" si="21"/>
        <v>2367.2200000000003</v>
      </c>
      <c r="X112" s="353"/>
      <c r="Y112" s="226"/>
      <c r="Z112" s="226"/>
      <c r="AA112" s="226"/>
      <c r="AB112" s="226"/>
      <c r="AC112" s="226"/>
    </row>
    <row r="113" spans="1:29" s="225" customFormat="1">
      <c r="A113" s="205">
        <v>9989.19</v>
      </c>
      <c r="B113" s="205">
        <f t="shared" si="29"/>
        <v>112588.90000000001</v>
      </c>
      <c r="C113" s="205">
        <f t="shared" si="23"/>
        <v>166.48650000000001</v>
      </c>
      <c r="D113" s="206">
        <v>5327.4699999999993</v>
      </c>
      <c r="E113" s="207">
        <v>45170</v>
      </c>
      <c r="F113" s="208"/>
      <c r="G113" s="208"/>
      <c r="H113" s="209">
        <f t="shared" si="27"/>
        <v>166.49</v>
      </c>
      <c r="I113" s="364">
        <v>43344</v>
      </c>
      <c r="J113" s="210">
        <f t="shared" si="25"/>
        <v>166.49</v>
      </c>
      <c r="K113" s="212">
        <f t="shared" si="31"/>
        <v>166.49</v>
      </c>
      <c r="L113" s="212">
        <f t="shared" si="31"/>
        <v>166.49</v>
      </c>
      <c r="M113" s="212">
        <f t="shared" si="31"/>
        <v>166.49</v>
      </c>
      <c r="N113" s="212">
        <f t="shared" si="31"/>
        <v>166.49</v>
      </c>
      <c r="O113" s="212">
        <f t="shared" si="31"/>
        <v>166.49</v>
      </c>
      <c r="P113" s="212">
        <f t="shared" si="31"/>
        <v>166.49</v>
      </c>
      <c r="Q113" s="212">
        <f t="shared" si="31"/>
        <v>166.49</v>
      </c>
      <c r="R113" s="212">
        <f t="shared" si="30"/>
        <v>166.49</v>
      </c>
      <c r="S113" s="212">
        <f t="shared" si="30"/>
        <v>166.49</v>
      </c>
      <c r="T113" s="212">
        <f t="shared" si="30"/>
        <v>166.49</v>
      </c>
      <c r="U113" s="212">
        <f t="shared" si="30"/>
        <v>166.49</v>
      </c>
      <c r="V113" s="211">
        <f t="shared" si="28"/>
        <v>1997.88</v>
      </c>
      <c r="W113" s="259">
        <f t="shared" si="21"/>
        <v>3329.5899999999992</v>
      </c>
      <c r="X113" s="353"/>
      <c r="Y113" s="226"/>
      <c r="Z113" s="226"/>
      <c r="AA113" s="226"/>
      <c r="AB113" s="226"/>
      <c r="AC113" s="226"/>
    </row>
    <row r="114" spans="1:29" s="225" customFormat="1">
      <c r="A114" s="205">
        <v>6347.33</v>
      </c>
      <c r="B114" s="205">
        <f t="shared" si="29"/>
        <v>118936.23000000001</v>
      </c>
      <c r="C114" s="205">
        <f t="shared" si="23"/>
        <v>105.78883333333333</v>
      </c>
      <c r="D114" s="206">
        <v>3491.0000000000009</v>
      </c>
      <c r="E114" s="207">
        <v>45200</v>
      </c>
      <c r="F114" s="208"/>
      <c r="G114" s="208"/>
      <c r="H114" s="209">
        <f t="shared" si="27"/>
        <v>105.79</v>
      </c>
      <c r="I114" s="364">
        <v>43374</v>
      </c>
      <c r="J114" s="210">
        <f t="shared" si="25"/>
        <v>105.79</v>
      </c>
      <c r="K114" s="212">
        <f t="shared" si="31"/>
        <v>105.79</v>
      </c>
      <c r="L114" s="212">
        <f t="shared" si="31"/>
        <v>105.79</v>
      </c>
      <c r="M114" s="212">
        <f t="shared" si="31"/>
        <v>105.79</v>
      </c>
      <c r="N114" s="212">
        <f t="shared" si="31"/>
        <v>105.79</v>
      </c>
      <c r="O114" s="212">
        <f t="shared" si="31"/>
        <v>105.79</v>
      </c>
      <c r="P114" s="212">
        <f t="shared" si="31"/>
        <v>105.79</v>
      </c>
      <c r="Q114" s="212">
        <f t="shared" si="31"/>
        <v>105.79</v>
      </c>
      <c r="R114" s="212">
        <f t="shared" si="30"/>
        <v>105.79</v>
      </c>
      <c r="S114" s="212">
        <f t="shared" si="30"/>
        <v>105.79</v>
      </c>
      <c r="T114" s="212">
        <f t="shared" si="30"/>
        <v>105.79</v>
      </c>
      <c r="U114" s="212">
        <f t="shared" si="30"/>
        <v>105.79</v>
      </c>
      <c r="V114" s="211">
        <f t="shared" si="28"/>
        <v>1269.4799999999998</v>
      </c>
      <c r="W114" s="259">
        <f t="shared" si="21"/>
        <v>2221.5200000000013</v>
      </c>
      <c r="X114" s="353"/>
      <c r="Y114" s="226"/>
      <c r="Z114" s="226"/>
      <c r="AA114" s="226"/>
      <c r="AB114" s="226"/>
      <c r="AC114" s="226"/>
    </row>
    <row r="115" spans="1:29" s="225" customFormat="1">
      <c r="A115" s="205">
        <v>23295.86</v>
      </c>
      <c r="B115" s="205">
        <f t="shared" si="29"/>
        <v>142232.09000000003</v>
      </c>
      <c r="C115" s="205">
        <f t="shared" si="23"/>
        <v>388.26433333333335</v>
      </c>
      <c r="D115" s="206">
        <v>13201.1</v>
      </c>
      <c r="E115" s="207">
        <v>45231</v>
      </c>
      <c r="F115" s="208"/>
      <c r="G115" s="208"/>
      <c r="H115" s="209">
        <f t="shared" si="27"/>
        <v>388.26</v>
      </c>
      <c r="I115" s="364">
        <v>43405</v>
      </c>
      <c r="J115" s="210">
        <f t="shared" si="25"/>
        <v>388.26</v>
      </c>
      <c r="K115" s="212">
        <f t="shared" si="31"/>
        <v>388.26</v>
      </c>
      <c r="L115" s="212">
        <f t="shared" si="31"/>
        <v>388.26</v>
      </c>
      <c r="M115" s="212">
        <f t="shared" si="31"/>
        <v>388.26</v>
      </c>
      <c r="N115" s="212">
        <f t="shared" si="31"/>
        <v>388.26</v>
      </c>
      <c r="O115" s="212">
        <f t="shared" si="31"/>
        <v>388.26</v>
      </c>
      <c r="P115" s="212">
        <f t="shared" si="31"/>
        <v>388.26</v>
      </c>
      <c r="Q115" s="212">
        <f t="shared" si="31"/>
        <v>388.26</v>
      </c>
      <c r="R115" s="212">
        <f t="shared" si="30"/>
        <v>388.26</v>
      </c>
      <c r="S115" s="212">
        <f t="shared" si="30"/>
        <v>388.26</v>
      </c>
      <c r="T115" s="212">
        <f t="shared" si="30"/>
        <v>388.26</v>
      </c>
      <c r="U115" s="212">
        <f t="shared" si="30"/>
        <v>388.26</v>
      </c>
      <c r="V115" s="211">
        <f t="shared" si="28"/>
        <v>4659.1200000000008</v>
      </c>
      <c r="W115" s="259">
        <f>D115-V115</f>
        <v>8541.98</v>
      </c>
      <c r="X115" s="353"/>
      <c r="Y115" s="226"/>
      <c r="Z115" s="226"/>
      <c r="AA115" s="226"/>
      <c r="AB115" s="226"/>
      <c r="AC115" s="226"/>
    </row>
    <row r="116" spans="1:29" s="225" customFormat="1">
      <c r="A116" s="338">
        <v>10583.56</v>
      </c>
      <c r="B116" s="338">
        <f t="shared" si="29"/>
        <v>152815.65000000002</v>
      </c>
      <c r="C116" s="338">
        <f t="shared" si="23"/>
        <v>176.39266666666666</v>
      </c>
      <c r="D116" s="339">
        <v>6173.8100000000022</v>
      </c>
      <c r="E116" s="340">
        <v>45261</v>
      </c>
      <c r="F116" s="341"/>
      <c r="G116" s="341"/>
      <c r="H116" s="342">
        <f t="shared" si="27"/>
        <v>176.39</v>
      </c>
      <c r="I116" s="365">
        <v>43435</v>
      </c>
      <c r="J116" s="343">
        <f t="shared" si="25"/>
        <v>176.39</v>
      </c>
      <c r="K116" s="343">
        <f t="shared" si="31"/>
        <v>176.39</v>
      </c>
      <c r="L116" s="343">
        <f t="shared" si="31"/>
        <v>176.39</v>
      </c>
      <c r="M116" s="343">
        <f t="shared" si="31"/>
        <v>176.39</v>
      </c>
      <c r="N116" s="343">
        <f t="shared" si="31"/>
        <v>176.39</v>
      </c>
      <c r="O116" s="343">
        <f t="shared" si="31"/>
        <v>176.39</v>
      </c>
      <c r="P116" s="343">
        <f t="shared" si="31"/>
        <v>176.39</v>
      </c>
      <c r="Q116" s="343">
        <f t="shared" si="31"/>
        <v>176.39</v>
      </c>
      <c r="R116" s="343">
        <f t="shared" si="30"/>
        <v>176.39</v>
      </c>
      <c r="S116" s="343">
        <f t="shared" si="30"/>
        <v>176.39</v>
      </c>
      <c r="T116" s="343">
        <f t="shared" si="30"/>
        <v>176.39</v>
      </c>
      <c r="U116" s="343">
        <f t="shared" si="30"/>
        <v>176.39</v>
      </c>
      <c r="V116" s="344">
        <f t="shared" si="28"/>
        <v>2116.6799999999994</v>
      </c>
      <c r="W116" s="330">
        <f t="shared" si="21"/>
        <v>4057.1300000000028</v>
      </c>
      <c r="X116" s="353"/>
      <c r="Y116" s="226"/>
      <c r="Z116" s="226"/>
      <c r="AA116" s="226"/>
      <c r="AB116" s="226"/>
      <c r="AC116" s="226"/>
    </row>
    <row r="117" spans="1:29" s="225" customFormat="1">
      <c r="A117" s="446">
        <v>2563.21</v>
      </c>
      <c r="B117" s="205">
        <f>A117</f>
        <v>2563.21</v>
      </c>
      <c r="C117" s="205">
        <f t="shared" si="23"/>
        <v>42.720166666666664</v>
      </c>
      <c r="D117" s="447">
        <v>1537.9298333333329</v>
      </c>
      <c r="E117" s="207">
        <v>45292</v>
      </c>
      <c r="F117" s="208"/>
      <c r="G117" s="208"/>
      <c r="H117" s="209">
        <f t="shared" si="27"/>
        <v>42.72</v>
      </c>
      <c r="I117" s="448">
        <v>43466</v>
      </c>
      <c r="J117" s="210">
        <f t="shared" si="25"/>
        <v>42.72</v>
      </c>
      <c r="K117" s="212">
        <f t="shared" si="31"/>
        <v>42.72</v>
      </c>
      <c r="L117" s="212">
        <f t="shared" si="31"/>
        <v>42.72</v>
      </c>
      <c r="M117" s="212">
        <f t="shared" si="31"/>
        <v>42.72</v>
      </c>
      <c r="N117" s="212">
        <f t="shared" si="31"/>
        <v>42.72</v>
      </c>
      <c r="O117" s="212">
        <f t="shared" si="31"/>
        <v>42.72</v>
      </c>
      <c r="P117" s="212">
        <f t="shared" si="31"/>
        <v>42.72</v>
      </c>
      <c r="Q117" s="212">
        <f t="shared" si="31"/>
        <v>42.72</v>
      </c>
      <c r="R117" s="212">
        <f t="shared" si="30"/>
        <v>42.72</v>
      </c>
      <c r="S117" s="212">
        <f t="shared" si="30"/>
        <v>42.72</v>
      </c>
      <c r="T117" s="212">
        <f t="shared" si="30"/>
        <v>42.72</v>
      </c>
      <c r="U117" s="212">
        <f t="shared" si="30"/>
        <v>42.72</v>
      </c>
      <c r="V117" s="211">
        <f t="shared" si="28"/>
        <v>512.6400000000001</v>
      </c>
      <c r="W117" s="259">
        <f t="shared" si="21"/>
        <v>1025.2898333333328</v>
      </c>
      <c r="X117" s="353"/>
      <c r="Y117" s="226"/>
      <c r="Z117" s="226"/>
      <c r="AA117" s="226"/>
      <c r="AB117" s="226"/>
      <c r="AC117" s="226"/>
    </row>
    <row r="118" spans="1:29" s="225" customFormat="1">
      <c r="A118" s="446">
        <v>12360</v>
      </c>
      <c r="B118" s="205">
        <f t="shared" si="29"/>
        <v>14923.21</v>
      </c>
      <c r="C118" s="205">
        <f t="shared" si="23"/>
        <v>206</v>
      </c>
      <c r="D118" s="447">
        <v>7622</v>
      </c>
      <c r="E118" s="207">
        <v>45323</v>
      </c>
      <c r="F118" s="208"/>
      <c r="G118" s="208"/>
      <c r="H118" s="209">
        <f t="shared" si="27"/>
        <v>206</v>
      </c>
      <c r="I118" s="448">
        <v>43497</v>
      </c>
      <c r="J118" s="210">
        <f t="shared" si="25"/>
        <v>206</v>
      </c>
      <c r="K118" s="212">
        <f t="shared" si="31"/>
        <v>206</v>
      </c>
      <c r="L118" s="212">
        <f t="shared" si="31"/>
        <v>206</v>
      </c>
      <c r="M118" s="212">
        <f t="shared" si="31"/>
        <v>206</v>
      </c>
      <c r="N118" s="212">
        <f t="shared" si="31"/>
        <v>206</v>
      </c>
      <c r="O118" s="212">
        <f t="shared" si="31"/>
        <v>206</v>
      </c>
      <c r="P118" s="212">
        <f t="shared" si="31"/>
        <v>206</v>
      </c>
      <c r="Q118" s="212">
        <f t="shared" si="31"/>
        <v>206</v>
      </c>
      <c r="R118" s="212">
        <f t="shared" si="30"/>
        <v>206</v>
      </c>
      <c r="S118" s="212">
        <f t="shared" si="30"/>
        <v>206</v>
      </c>
      <c r="T118" s="212">
        <f t="shared" si="30"/>
        <v>206</v>
      </c>
      <c r="U118" s="212">
        <f t="shared" si="30"/>
        <v>206</v>
      </c>
      <c r="V118" s="211">
        <f t="shared" si="28"/>
        <v>2472</v>
      </c>
      <c r="W118" s="259">
        <f t="shared" si="21"/>
        <v>5150</v>
      </c>
      <c r="X118" s="353"/>
      <c r="Y118" s="226"/>
      <c r="Z118" s="226"/>
      <c r="AA118" s="226"/>
      <c r="AB118" s="226"/>
      <c r="AC118" s="226"/>
    </row>
    <row r="119" spans="1:29" s="225" customFormat="1">
      <c r="A119" s="446">
        <v>4550</v>
      </c>
      <c r="B119" s="205">
        <f t="shared" si="29"/>
        <v>19473.21</v>
      </c>
      <c r="C119" s="205">
        <f t="shared" si="23"/>
        <v>75.833333333333329</v>
      </c>
      <c r="D119" s="447">
        <v>2881.74</v>
      </c>
      <c r="E119" s="207">
        <v>45352</v>
      </c>
      <c r="F119" s="208"/>
      <c r="G119" s="208"/>
      <c r="H119" s="209">
        <f t="shared" si="27"/>
        <v>75.83</v>
      </c>
      <c r="I119" s="448">
        <v>43525</v>
      </c>
      <c r="J119" s="210">
        <f t="shared" si="25"/>
        <v>75.83</v>
      </c>
      <c r="K119" s="212">
        <f t="shared" si="31"/>
        <v>75.83</v>
      </c>
      <c r="L119" s="212">
        <f t="shared" si="31"/>
        <v>75.83</v>
      </c>
      <c r="M119" s="212">
        <f t="shared" si="31"/>
        <v>75.83</v>
      </c>
      <c r="N119" s="212">
        <f t="shared" si="31"/>
        <v>75.83</v>
      </c>
      <c r="O119" s="212">
        <f t="shared" si="31"/>
        <v>75.83</v>
      </c>
      <c r="P119" s="212">
        <f t="shared" si="31"/>
        <v>75.83</v>
      </c>
      <c r="Q119" s="212">
        <f t="shared" si="31"/>
        <v>75.83</v>
      </c>
      <c r="R119" s="212">
        <f t="shared" si="30"/>
        <v>75.83</v>
      </c>
      <c r="S119" s="212">
        <f t="shared" si="30"/>
        <v>75.83</v>
      </c>
      <c r="T119" s="212">
        <f t="shared" si="30"/>
        <v>75.83</v>
      </c>
      <c r="U119" s="212">
        <f t="shared" si="30"/>
        <v>75.83</v>
      </c>
      <c r="V119" s="211">
        <f t="shared" si="28"/>
        <v>909.96000000000015</v>
      </c>
      <c r="W119" s="259">
        <f t="shared" si="21"/>
        <v>1971.7799999999997</v>
      </c>
      <c r="X119" s="353"/>
      <c r="Y119" s="226"/>
      <c r="Z119" s="226"/>
      <c r="AA119" s="226"/>
      <c r="AB119" s="226"/>
      <c r="AC119" s="226"/>
    </row>
    <row r="120" spans="1:29" s="225" customFormat="1">
      <c r="A120" s="446">
        <v>9520</v>
      </c>
      <c r="B120" s="205">
        <f t="shared" ref="B120:B128" si="32">+B119+A120</f>
        <v>28993.21</v>
      </c>
      <c r="C120" s="205">
        <f t="shared" ref="C120:C140" si="33">A120/60</f>
        <v>158.66666666666666</v>
      </c>
      <c r="D120" s="447">
        <v>6187.93</v>
      </c>
      <c r="E120" s="207">
        <v>45383</v>
      </c>
      <c r="F120" s="208"/>
      <c r="G120" s="208"/>
      <c r="H120" s="209">
        <f t="shared" ref="H120:H128" si="34">+ROUND((+A120-C120)/59,2)</f>
        <v>158.66999999999999</v>
      </c>
      <c r="I120" s="448">
        <v>43556</v>
      </c>
      <c r="J120" s="210">
        <f t="shared" si="25"/>
        <v>158.66999999999999</v>
      </c>
      <c r="K120" s="212">
        <f t="shared" si="31"/>
        <v>158.66999999999999</v>
      </c>
      <c r="L120" s="212">
        <f t="shared" si="31"/>
        <v>158.66999999999999</v>
      </c>
      <c r="M120" s="212">
        <f t="shared" si="31"/>
        <v>158.66999999999999</v>
      </c>
      <c r="N120" s="212">
        <f t="shared" si="31"/>
        <v>158.66999999999999</v>
      </c>
      <c r="O120" s="212">
        <f t="shared" si="31"/>
        <v>158.66999999999999</v>
      </c>
      <c r="P120" s="212">
        <f t="shared" si="31"/>
        <v>158.66999999999999</v>
      </c>
      <c r="Q120" s="212">
        <f t="shared" si="31"/>
        <v>158.66999999999999</v>
      </c>
      <c r="R120" s="212">
        <f t="shared" si="30"/>
        <v>158.66999999999999</v>
      </c>
      <c r="S120" s="212">
        <f t="shared" si="30"/>
        <v>158.66999999999999</v>
      </c>
      <c r="T120" s="212">
        <f t="shared" si="30"/>
        <v>158.66999999999999</v>
      </c>
      <c r="U120" s="212">
        <f t="shared" si="30"/>
        <v>158.66999999999999</v>
      </c>
      <c r="V120" s="211">
        <f t="shared" si="28"/>
        <v>1904.0400000000002</v>
      </c>
      <c r="W120" s="259">
        <f t="shared" si="21"/>
        <v>4283.8900000000003</v>
      </c>
      <c r="X120" s="353"/>
      <c r="Y120" s="226"/>
      <c r="Z120" s="226"/>
      <c r="AA120" s="226"/>
      <c r="AB120" s="226"/>
      <c r="AC120" s="226"/>
    </row>
    <row r="121" spans="1:29" s="225" customFormat="1">
      <c r="A121" s="446">
        <v>7350</v>
      </c>
      <c r="B121" s="205">
        <f t="shared" si="32"/>
        <v>36343.21</v>
      </c>
      <c r="C121" s="205">
        <f t="shared" si="33"/>
        <v>122.5</v>
      </c>
      <c r="D121" s="447">
        <v>4900</v>
      </c>
      <c r="E121" s="207">
        <v>45413</v>
      </c>
      <c r="F121" s="208"/>
      <c r="G121" s="208"/>
      <c r="H121" s="209">
        <f t="shared" si="34"/>
        <v>122.5</v>
      </c>
      <c r="I121" s="448">
        <v>43586</v>
      </c>
      <c r="J121" s="210">
        <f t="shared" si="25"/>
        <v>122.5</v>
      </c>
      <c r="K121" s="212">
        <f t="shared" si="31"/>
        <v>122.5</v>
      </c>
      <c r="L121" s="212">
        <f t="shared" si="31"/>
        <v>122.5</v>
      </c>
      <c r="M121" s="212">
        <f t="shared" si="31"/>
        <v>122.5</v>
      </c>
      <c r="N121" s="212">
        <f t="shared" si="31"/>
        <v>122.5</v>
      </c>
      <c r="O121" s="212">
        <f t="shared" si="31"/>
        <v>122.5</v>
      </c>
      <c r="P121" s="212">
        <f t="shared" si="31"/>
        <v>122.5</v>
      </c>
      <c r="Q121" s="212">
        <f t="shared" si="31"/>
        <v>122.5</v>
      </c>
      <c r="R121" s="212">
        <f t="shared" si="30"/>
        <v>122.5</v>
      </c>
      <c r="S121" s="212">
        <f t="shared" si="30"/>
        <v>122.5</v>
      </c>
      <c r="T121" s="212">
        <f t="shared" si="30"/>
        <v>122.5</v>
      </c>
      <c r="U121" s="212">
        <f t="shared" si="30"/>
        <v>122.5</v>
      </c>
      <c r="V121" s="211">
        <f t="shared" si="28"/>
        <v>1470</v>
      </c>
      <c r="W121" s="259">
        <f t="shared" si="21"/>
        <v>3430</v>
      </c>
      <c r="X121" s="353"/>
      <c r="Y121" s="226"/>
      <c r="Z121" s="226"/>
      <c r="AA121" s="226"/>
      <c r="AB121" s="226"/>
      <c r="AC121" s="226"/>
    </row>
    <row r="122" spans="1:29" s="225" customFormat="1">
      <c r="A122" s="446">
        <v>1386</v>
      </c>
      <c r="B122" s="205">
        <f t="shared" si="32"/>
        <v>37729.21</v>
      </c>
      <c r="C122" s="205">
        <f t="shared" si="33"/>
        <v>23.1</v>
      </c>
      <c r="D122" s="447">
        <v>947.09999999999991</v>
      </c>
      <c r="E122" s="207">
        <v>45444</v>
      </c>
      <c r="F122" s="208"/>
      <c r="G122" s="208"/>
      <c r="H122" s="209">
        <f t="shared" si="34"/>
        <v>23.1</v>
      </c>
      <c r="I122" s="448">
        <v>43617</v>
      </c>
      <c r="J122" s="210">
        <f t="shared" si="25"/>
        <v>23.1</v>
      </c>
      <c r="K122" s="212">
        <f t="shared" si="31"/>
        <v>23.1</v>
      </c>
      <c r="L122" s="212">
        <f t="shared" si="31"/>
        <v>23.1</v>
      </c>
      <c r="M122" s="212">
        <f t="shared" si="31"/>
        <v>23.1</v>
      </c>
      <c r="N122" s="212">
        <f t="shared" si="31"/>
        <v>23.1</v>
      </c>
      <c r="O122" s="212">
        <f t="shared" si="31"/>
        <v>23.1</v>
      </c>
      <c r="P122" s="212">
        <f t="shared" si="31"/>
        <v>23.1</v>
      </c>
      <c r="Q122" s="212">
        <f t="shared" si="31"/>
        <v>23.1</v>
      </c>
      <c r="R122" s="212">
        <f t="shared" si="30"/>
        <v>23.1</v>
      </c>
      <c r="S122" s="212">
        <f t="shared" si="30"/>
        <v>23.1</v>
      </c>
      <c r="T122" s="212">
        <f t="shared" si="30"/>
        <v>23.1</v>
      </c>
      <c r="U122" s="212">
        <f t="shared" si="30"/>
        <v>23.1</v>
      </c>
      <c r="V122" s="211">
        <f t="shared" ref="V122:V127" si="35">SUM(J122:U122)</f>
        <v>277.2</v>
      </c>
      <c r="W122" s="259">
        <f t="shared" si="21"/>
        <v>669.89999999999986</v>
      </c>
      <c r="X122" s="353"/>
      <c r="Y122" s="226"/>
      <c r="Z122" s="226"/>
      <c r="AA122" s="226"/>
      <c r="AB122" s="226"/>
      <c r="AC122" s="226"/>
    </row>
    <row r="123" spans="1:29" s="225" customFormat="1">
      <c r="A123" s="446">
        <v>4504.51</v>
      </c>
      <c r="B123" s="205">
        <f t="shared" si="32"/>
        <v>42233.72</v>
      </c>
      <c r="C123" s="205">
        <f t="shared" si="33"/>
        <v>75.075166666666675</v>
      </c>
      <c r="D123" s="447">
        <v>3153.07</v>
      </c>
      <c r="E123" s="207">
        <v>45474</v>
      </c>
      <c r="F123" s="208"/>
      <c r="G123" s="208"/>
      <c r="H123" s="209">
        <f t="shared" si="34"/>
        <v>75.08</v>
      </c>
      <c r="I123" s="448">
        <v>43647</v>
      </c>
      <c r="J123" s="210">
        <f t="shared" si="25"/>
        <v>75.08</v>
      </c>
      <c r="K123" s="212">
        <f t="shared" si="31"/>
        <v>75.08</v>
      </c>
      <c r="L123" s="212">
        <f t="shared" si="31"/>
        <v>75.08</v>
      </c>
      <c r="M123" s="212">
        <f t="shared" si="31"/>
        <v>75.08</v>
      </c>
      <c r="N123" s="212">
        <f t="shared" si="31"/>
        <v>75.08</v>
      </c>
      <c r="O123" s="212">
        <f t="shared" si="31"/>
        <v>75.08</v>
      </c>
      <c r="P123" s="212">
        <f t="shared" si="31"/>
        <v>75.08</v>
      </c>
      <c r="Q123" s="212">
        <f t="shared" si="31"/>
        <v>75.08</v>
      </c>
      <c r="R123" s="212">
        <f t="shared" si="30"/>
        <v>75.08</v>
      </c>
      <c r="S123" s="212">
        <f t="shared" si="30"/>
        <v>75.08</v>
      </c>
      <c r="T123" s="212">
        <f t="shared" si="30"/>
        <v>75.08</v>
      </c>
      <c r="U123" s="212">
        <f t="shared" si="30"/>
        <v>75.08</v>
      </c>
      <c r="V123" s="211">
        <f t="shared" si="35"/>
        <v>900.96000000000015</v>
      </c>
      <c r="W123" s="259">
        <f t="shared" si="21"/>
        <v>2252.11</v>
      </c>
      <c r="X123" s="353"/>
      <c r="Y123" s="226"/>
      <c r="Z123" s="226"/>
      <c r="AA123" s="226"/>
      <c r="AB123" s="226"/>
      <c r="AC123" s="226"/>
    </row>
    <row r="124" spans="1:29" s="225" customFormat="1">
      <c r="A124" s="446">
        <v>5417.99</v>
      </c>
      <c r="B124" s="446">
        <f t="shared" si="32"/>
        <v>47651.71</v>
      </c>
      <c r="C124" s="205">
        <f t="shared" si="33"/>
        <v>90.299833333333325</v>
      </c>
      <c r="D124" s="447">
        <v>3882.8900000000003</v>
      </c>
      <c r="E124" s="207">
        <v>45505</v>
      </c>
      <c r="F124" s="208"/>
      <c r="G124" s="208"/>
      <c r="H124" s="209">
        <f t="shared" si="34"/>
        <v>90.3</v>
      </c>
      <c r="I124" s="448">
        <v>43678</v>
      </c>
      <c r="J124" s="210">
        <f t="shared" si="25"/>
        <v>90.3</v>
      </c>
      <c r="K124" s="212">
        <f t="shared" si="31"/>
        <v>90.3</v>
      </c>
      <c r="L124" s="212">
        <f t="shared" si="31"/>
        <v>90.3</v>
      </c>
      <c r="M124" s="212">
        <f t="shared" si="31"/>
        <v>90.3</v>
      </c>
      <c r="N124" s="212">
        <f t="shared" si="31"/>
        <v>90.3</v>
      </c>
      <c r="O124" s="212">
        <f t="shared" si="31"/>
        <v>90.3</v>
      </c>
      <c r="P124" s="212">
        <f t="shared" si="31"/>
        <v>90.3</v>
      </c>
      <c r="Q124" s="212">
        <f t="shared" si="31"/>
        <v>90.3</v>
      </c>
      <c r="R124" s="212">
        <f t="shared" si="30"/>
        <v>90.3</v>
      </c>
      <c r="S124" s="212">
        <f t="shared" si="30"/>
        <v>90.3</v>
      </c>
      <c r="T124" s="212">
        <f t="shared" si="30"/>
        <v>90.3</v>
      </c>
      <c r="U124" s="212">
        <f t="shared" si="30"/>
        <v>90.3</v>
      </c>
      <c r="V124" s="211">
        <f t="shared" si="35"/>
        <v>1083.5999999999997</v>
      </c>
      <c r="W124" s="259">
        <f t="shared" si="21"/>
        <v>2799.2900000000009</v>
      </c>
      <c r="X124" s="353"/>
      <c r="Y124" s="226"/>
      <c r="Z124" s="226"/>
      <c r="AA124" s="226"/>
      <c r="AB124" s="226"/>
      <c r="AC124" s="226"/>
    </row>
    <row r="125" spans="1:29" s="225" customFormat="1">
      <c r="A125" s="446">
        <v>3230.79</v>
      </c>
      <c r="B125" s="446">
        <f t="shared" si="32"/>
        <v>50882.5</v>
      </c>
      <c r="C125" s="205">
        <f t="shared" si="33"/>
        <v>53.846499999999999</v>
      </c>
      <c r="D125" s="447">
        <v>2369.1899999999996</v>
      </c>
      <c r="E125" s="207">
        <v>45536</v>
      </c>
      <c r="F125" s="208"/>
      <c r="G125" s="208"/>
      <c r="H125" s="209">
        <f t="shared" si="34"/>
        <v>53.85</v>
      </c>
      <c r="I125" s="448">
        <v>43709</v>
      </c>
      <c r="J125" s="210">
        <f t="shared" si="25"/>
        <v>53.85</v>
      </c>
      <c r="K125" s="212">
        <f t="shared" si="31"/>
        <v>53.85</v>
      </c>
      <c r="L125" s="212">
        <f t="shared" si="31"/>
        <v>53.85</v>
      </c>
      <c r="M125" s="212">
        <f t="shared" si="31"/>
        <v>53.85</v>
      </c>
      <c r="N125" s="212">
        <f t="shared" si="31"/>
        <v>53.85</v>
      </c>
      <c r="O125" s="212">
        <f t="shared" si="31"/>
        <v>53.85</v>
      </c>
      <c r="P125" s="212">
        <f t="shared" si="31"/>
        <v>53.85</v>
      </c>
      <c r="Q125" s="212">
        <f t="shared" si="31"/>
        <v>53.85</v>
      </c>
      <c r="R125" s="212">
        <f t="shared" si="30"/>
        <v>53.85</v>
      </c>
      <c r="S125" s="212">
        <f t="shared" si="30"/>
        <v>53.85</v>
      </c>
      <c r="T125" s="212">
        <f t="shared" si="30"/>
        <v>53.85</v>
      </c>
      <c r="U125" s="212">
        <f t="shared" si="30"/>
        <v>53.85</v>
      </c>
      <c r="V125" s="211">
        <f t="shared" si="35"/>
        <v>646.20000000000016</v>
      </c>
      <c r="W125" s="259">
        <f t="shared" si="21"/>
        <v>1722.9899999999993</v>
      </c>
      <c r="X125" s="353"/>
      <c r="Y125" s="226"/>
      <c r="Z125" s="226"/>
      <c r="AA125" s="226"/>
      <c r="AB125" s="226"/>
      <c r="AC125" s="226"/>
    </row>
    <row r="126" spans="1:29" s="225" customFormat="1">
      <c r="A126" s="446">
        <v>9450</v>
      </c>
      <c r="B126" s="446">
        <f t="shared" si="32"/>
        <v>60332.5</v>
      </c>
      <c r="C126" s="205">
        <f t="shared" si="33"/>
        <v>157.5</v>
      </c>
      <c r="D126" s="447">
        <v>7087.5</v>
      </c>
      <c r="E126" s="207">
        <v>45566</v>
      </c>
      <c r="F126" s="208"/>
      <c r="G126" s="208"/>
      <c r="H126" s="209">
        <f t="shared" si="34"/>
        <v>157.5</v>
      </c>
      <c r="I126" s="448">
        <v>43739</v>
      </c>
      <c r="J126" s="210">
        <f t="shared" si="25"/>
        <v>157.5</v>
      </c>
      <c r="K126" s="212">
        <f t="shared" si="31"/>
        <v>157.5</v>
      </c>
      <c r="L126" s="212">
        <f t="shared" si="31"/>
        <v>157.5</v>
      </c>
      <c r="M126" s="212">
        <f t="shared" si="31"/>
        <v>157.5</v>
      </c>
      <c r="N126" s="212">
        <f t="shared" si="31"/>
        <v>157.5</v>
      </c>
      <c r="O126" s="212">
        <f t="shared" si="31"/>
        <v>157.5</v>
      </c>
      <c r="P126" s="212">
        <f t="shared" si="31"/>
        <v>157.5</v>
      </c>
      <c r="Q126" s="212">
        <f t="shared" si="31"/>
        <v>157.5</v>
      </c>
      <c r="R126" s="212">
        <f t="shared" si="30"/>
        <v>157.5</v>
      </c>
      <c r="S126" s="212">
        <f t="shared" si="30"/>
        <v>157.5</v>
      </c>
      <c r="T126" s="212">
        <f t="shared" si="30"/>
        <v>157.5</v>
      </c>
      <c r="U126" s="212">
        <f t="shared" si="30"/>
        <v>157.5</v>
      </c>
      <c r="V126" s="211">
        <f t="shared" si="35"/>
        <v>1890</v>
      </c>
      <c r="W126" s="259">
        <f t="shared" si="21"/>
        <v>5197.5</v>
      </c>
      <c r="X126" s="353"/>
      <c r="Y126" s="226"/>
      <c r="Z126" s="226"/>
      <c r="AA126" s="226"/>
      <c r="AB126" s="226"/>
      <c r="AC126" s="226"/>
    </row>
    <row r="127" spans="1:29" s="225" customFormat="1">
      <c r="A127" s="446">
        <v>2800</v>
      </c>
      <c r="B127" s="446">
        <f t="shared" si="32"/>
        <v>63132.5</v>
      </c>
      <c r="C127" s="205">
        <f t="shared" si="33"/>
        <v>46.666666666666664</v>
      </c>
      <c r="D127" s="447">
        <v>2146.62</v>
      </c>
      <c r="E127" s="207">
        <v>45597</v>
      </c>
      <c r="F127" s="208"/>
      <c r="G127" s="208"/>
      <c r="H127" s="209">
        <f t="shared" si="34"/>
        <v>46.67</v>
      </c>
      <c r="I127" s="448">
        <v>43770</v>
      </c>
      <c r="J127" s="210">
        <f t="shared" si="25"/>
        <v>46.67</v>
      </c>
      <c r="K127" s="212">
        <f t="shared" si="31"/>
        <v>46.67</v>
      </c>
      <c r="L127" s="212">
        <f t="shared" si="31"/>
        <v>46.67</v>
      </c>
      <c r="M127" s="212">
        <f t="shared" si="31"/>
        <v>46.67</v>
      </c>
      <c r="N127" s="212">
        <f t="shared" si="31"/>
        <v>46.67</v>
      </c>
      <c r="O127" s="212">
        <f t="shared" si="31"/>
        <v>46.67</v>
      </c>
      <c r="P127" s="212">
        <f t="shared" si="31"/>
        <v>46.67</v>
      </c>
      <c r="Q127" s="212">
        <f t="shared" si="31"/>
        <v>46.67</v>
      </c>
      <c r="R127" s="212">
        <f t="shared" si="30"/>
        <v>46.67</v>
      </c>
      <c r="S127" s="212">
        <f t="shared" si="30"/>
        <v>46.67</v>
      </c>
      <c r="T127" s="212">
        <f t="shared" si="30"/>
        <v>46.67</v>
      </c>
      <c r="U127" s="212">
        <f t="shared" si="30"/>
        <v>46.67</v>
      </c>
      <c r="V127" s="211">
        <f t="shared" si="35"/>
        <v>560.04000000000008</v>
      </c>
      <c r="W127" s="259">
        <f t="shared" si="21"/>
        <v>1586.58</v>
      </c>
      <c r="X127" s="353"/>
      <c r="Y127" s="226"/>
      <c r="Z127" s="226"/>
      <c r="AA127" s="226"/>
      <c r="AB127" s="226"/>
      <c r="AC127" s="226"/>
    </row>
    <row r="128" spans="1:29" s="225" customFormat="1">
      <c r="A128" s="454">
        <v>-308.33999999999997</v>
      </c>
      <c r="B128" s="454">
        <f t="shared" si="32"/>
        <v>62824.160000000003</v>
      </c>
      <c r="C128" s="338">
        <f t="shared" si="33"/>
        <v>-5.1389999999999993</v>
      </c>
      <c r="D128" s="455">
        <v>-241.51999999999998</v>
      </c>
      <c r="E128" s="340">
        <v>45627</v>
      </c>
      <c r="F128" s="341"/>
      <c r="G128" s="341"/>
      <c r="H128" s="342">
        <f t="shared" si="34"/>
        <v>-5.14</v>
      </c>
      <c r="I128" s="456">
        <v>43800</v>
      </c>
      <c r="J128" s="343">
        <f t="shared" si="25"/>
        <v>-5.14</v>
      </c>
      <c r="K128" s="343">
        <f t="shared" si="31"/>
        <v>-5.14</v>
      </c>
      <c r="L128" s="343">
        <f t="shared" si="31"/>
        <v>-5.14</v>
      </c>
      <c r="M128" s="343">
        <f t="shared" si="31"/>
        <v>-5.14</v>
      </c>
      <c r="N128" s="343">
        <f t="shared" si="31"/>
        <v>-5.14</v>
      </c>
      <c r="O128" s="343">
        <f t="shared" si="31"/>
        <v>-5.14</v>
      </c>
      <c r="P128" s="343">
        <f t="shared" si="31"/>
        <v>-5.14</v>
      </c>
      <c r="Q128" s="343">
        <f t="shared" si="31"/>
        <v>-5.14</v>
      </c>
      <c r="R128" s="343">
        <f t="shared" si="30"/>
        <v>-5.14</v>
      </c>
      <c r="S128" s="343">
        <f t="shared" si="30"/>
        <v>-5.14</v>
      </c>
      <c r="T128" s="343">
        <f t="shared" si="30"/>
        <v>-5.14</v>
      </c>
      <c r="U128" s="343">
        <f t="shared" si="30"/>
        <v>-5.14</v>
      </c>
      <c r="V128" s="344">
        <f>SUM(J128:U128)</f>
        <v>-61.68</v>
      </c>
      <c r="W128" s="330">
        <f t="shared" si="21"/>
        <v>-179.83999999999997</v>
      </c>
      <c r="X128" s="353"/>
      <c r="Y128" s="226"/>
      <c r="Z128" s="226"/>
      <c r="AA128" s="226"/>
      <c r="AB128" s="226"/>
      <c r="AC128" s="226"/>
    </row>
    <row r="129" spans="1:29" s="225" customFormat="1">
      <c r="A129" s="446">
        <v>7010</v>
      </c>
      <c r="B129" s="446">
        <f>A129</f>
        <v>7010</v>
      </c>
      <c r="C129" s="205">
        <f t="shared" si="33"/>
        <v>116.83333333333333</v>
      </c>
      <c r="D129" s="447">
        <v>5608.0366666666669</v>
      </c>
      <c r="E129" s="207">
        <v>45658</v>
      </c>
      <c r="F129" s="208"/>
      <c r="G129" s="208"/>
      <c r="H129" s="209">
        <f t="shared" ref="H129:H152" si="36">+ROUND((+A129-C129)/59,2)</f>
        <v>116.83</v>
      </c>
      <c r="I129" s="448">
        <v>43831</v>
      </c>
      <c r="J129" s="210">
        <f t="shared" si="25"/>
        <v>116.83</v>
      </c>
      <c r="K129" s="212">
        <f t="shared" si="31"/>
        <v>116.83</v>
      </c>
      <c r="L129" s="212">
        <f t="shared" si="31"/>
        <v>116.83</v>
      </c>
      <c r="M129" s="212">
        <f t="shared" si="31"/>
        <v>116.83</v>
      </c>
      <c r="N129" s="212">
        <f t="shared" si="31"/>
        <v>116.83</v>
      </c>
      <c r="O129" s="212">
        <f t="shared" si="31"/>
        <v>116.83</v>
      </c>
      <c r="P129" s="212">
        <f t="shared" si="31"/>
        <v>116.83</v>
      </c>
      <c r="Q129" s="212">
        <f t="shared" si="31"/>
        <v>116.83</v>
      </c>
      <c r="R129" s="212">
        <f t="shared" si="30"/>
        <v>116.83</v>
      </c>
      <c r="S129" s="212">
        <f t="shared" si="30"/>
        <v>116.83</v>
      </c>
      <c r="T129" s="212">
        <f t="shared" si="30"/>
        <v>116.83</v>
      </c>
      <c r="U129" s="212">
        <f t="shared" si="30"/>
        <v>116.83</v>
      </c>
      <c r="V129" s="211">
        <f>SUM(J129:U129)</f>
        <v>1401.9599999999998</v>
      </c>
      <c r="W129" s="259">
        <f>+A129-V129</f>
        <v>5608.04</v>
      </c>
      <c r="X129" s="353"/>
      <c r="Y129" s="226"/>
      <c r="Z129" s="226"/>
      <c r="AA129" s="226"/>
      <c r="AB129" s="226"/>
      <c r="AC129" s="226"/>
    </row>
    <row r="130" spans="1:29" s="225" customFormat="1">
      <c r="A130" s="446">
        <v>4658.58</v>
      </c>
      <c r="B130" s="446">
        <f>+B129+A130</f>
        <v>11668.58</v>
      </c>
      <c r="C130" s="205">
        <f t="shared" si="33"/>
        <v>77.643000000000001</v>
      </c>
      <c r="D130" s="447">
        <v>3804.5370000000003</v>
      </c>
      <c r="E130" s="450">
        <v>45689</v>
      </c>
      <c r="F130" s="208"/>
      <c r="G130" s="208"/>
      <c r="H130" s="209">
        <f t="shared" si="36"/>
        <v>77.64</v>
      </c>
      <c r="I130" s="448">
        <v>43862</v>
      </c>
      <c r="J130" s="210">
        <f t="shared" si="25"/>
        <v>77.64</v>
      </c>
      <c r="K130" s="212">
        <f t="shared" si="31"/>
        <v>77.64</v>
      </c>
      <c r="L130" s="212">
        <f t="shared" si="31"/>
        <v>77.64</v>
      </c>
      <c r="M130" s="212">
        <f t="shared" si="31"/>
        <v>77.64</v>
      </c>
      <c r="N130" s="212">
        <f t="shared" si="31"/>
        <v>77.64</v>
      </c>
      <c r="O130" s="212">
        <f t="shared" si="31"/>
        <v>77.64</v>
      </c>
      <c r="P130" s="212">
        <f t="shared" si="31"/>
        <v>77.64</v>
      </c>
      <c r="Q130" s="212">
        <f t="shared" si="31"/>
        <v>77.64</v>
      </c>
      <c r="R130" s="212">
        <f t="shared" si="30"/>
        <v>77.64</v>
      </c>
      <c r="S130" s="212">
        <f t="shared" si="30"/>
        <v>77.64</v>
      </c>
      <c r="T130" s="212">
        <f t="shared" si="30"/>
        <v>77.64</v>
      </c>
      <c r="U130" s="212">
        <f t="shared" si="30"/>
        <v>77.64</v>
      </c>
      <c r="V130" s="211">
        <f t="shared" ref="V130:V152" si="37">SUM(J130:U130)</f>
        <v>931.68</v>
      </c>
      <c r="W130" s="259">
        <f t="shared" ref="W130:W152" si="38">+A130-V130</f>
        <v>3726.9</v>
      </c>
      <c r="X130" s="353"/>
      <c r="Y130" s="226"/>
      <c r="Z130" s="226"/>
      <c r="AA130" s="226"/>
      <c r="AB130" s="226"/>
      <c r="AC130" s="226"/>
    </row>
    <row r="131" spans="1:29" s="225" customFormat="1">
      <c r="A131" s="446">
        <v>1328.7</v>
      </c>
      <c r="B131" s="446">
        <f t="shared" ref="B131:B140" si="39">+B130+A131</f>
        <v>12997.28</v>
      </c>
      <c r="C131" s="205">
        <f t="shared" si="33"/>
        <v>22.145</v>
      </c>
      <c r="D131" s="447">
        <v>1107.2</v>
      </c>
      <c r="E131" s="450">
        <v>45717</v>
      </c>
      <c r="F131" s="208"/>
      <c r="G131" s="208"/>
      <c r="H131" s="209">
        <f t="shared" si="36"/>
        <v>22.15</v>
      </c>
      <c r="I131" s="448">
        <v>43891</v>
      </c>
      <c r="J131" s="210">
        <f t="shared" si="25"/>
        <v>22.15</v>
      </c>
      <c r="K131" s="212">
        <f t="shared" si="31"/>
        <v>22.15</v>
      </c>
      <c r="L131" s="212">
        <f t="shared" si="31"/>
        <v>22.15</v>
      </c>
      <c r="M131" s="212">
        <f t="shared" si="31"/>
        <v>22.15</v>
      </c>
      <c r="N131" s="212">
        <f t="shared" si="31"/>
        <v>22.15</v>
      </c>
      <c r="O131" s="212">
        <f t="shared" si="31"/>
        <v>22.15</v>
      </c>
      <c r="P131" s="212">
        <f t="shared" si="31"/>
        <v>22.15</v>
      </c>
      <c r="Q131" s="212">
        <f t="shared" si="31"/>
        <v>22.15</v>
      </c>
      <c r="R131" s="212">
        <f t="shared" si="30"/>
        <v>22.15</v>
      </c>
      <c r="S131" s="212">
        <f t="shared" si="30"/>
        <v>22.15</v>
      </c>
      <c r="T131" s="212">
        <f t="shared" si="30"/>
        <v>22.15</v>
      </c>
      <c r="U131" s="212">
        <f t="shared" si="30"/>
        <v>22.15</v>
      </c>
      <c r="V131" s="211">
        <f t="shared" si="37"/>
        <v>265.8</v>
      </c>
      <c r="W131" s="259">
        <f t="shared" si="38"/>
        <v>1062.9000000000001</v>
      </c>
      <c r="X131" s="353"/>
      <c r="Y131" s="226"/>
      <c r="Z131" s="226"/>
      <c r="AA131" s="226"/>
      <c r="AB131" s="226"/>
      <c r="AC131" s="226"/>
    </row>
    <row r="132" spans="1:29" s="225" customFormat="1">
      <c r="A132" s="446">
        <v>3500</v>
      </c>
      <c r="B132" s="446">
        <f t="shared" si="39"/>
        <v>16497.28</v>
      </c>
      <c r="C132" s="205">
        <f t="shared" si="33"/>
        <v>58.333333333333336</v>
      </c>
      <c r="D132" s="447">
        <v>2975.03</v>
      </c>
      <c r="E132" s="450">
        <v>45748</v>
      </c>
      <c r="F132" s="208"/>
      <c r="G132" s="208"/>
      <c r="H132" s="209">
        <f t="shared" si="36"/>
        <v>58.33</v>
      </c>
      <c r="I132" s="448">
        <v>43922</v>
      </c>
      <c r="J132" s="210">
        <f t="shared" si="25"/>
        <v>58.33</v>
      </c>
      <c r="K132" s="212">
        <f t="shared" si="31"/>
        <v>58.33</v>
      </c>
      <c r="L132" s="212">
        <f t="shared" si="31"/>
        <v>58.33</v>
      </c>
      <c r="M132" s="212">
        <f t="shared" si="31"/>
        <v>58.33</v>
      </c>
      <c r="N132" s="212">
        <f t="shared" si="31"/>
        <v>58.33</v>
      </c>
      <c r="O132" s="212">
        <f t="shared" si="31"/>
        <v>58.33</v>
      </c>
      <c r="P132" s="212">
        <f t="shared" si="31"/>
        <v>58.33</v>
      </c>
      <c r="Q132" s="212">
        <f t="shared" si="31"/>
        <v>58.33</v>
      </c>
      <c r="R132" s="212">
        <f t="shared" si="30"/>
        <v>58.33</v>
      </c>
      <c r="S132" s="212">
        <f t="shared" si="30"/>
        <v>58.33</v>
      </c>
      <c r="T132" s="212">
        <f t="shared" si="30"/>
        <v>58.33</v>
      </c>
      <c r="U132" s="212">
        <f t="shared" si="30"/>
        <v>58.33</v>
      </c>
      <c r="V132" s="211">
        <f t="shared" si="37"/>
        <v>699.96</v>
      </c>
      <c r="W132" s="259">
        <f t="shared" si="38"/>
        <v>2800.04</v>
      </c>
      <c r="X132" s="353"/>
      <c r="Y132" s="226"/>
      <c r="Z132" s="226"/>
      <c r="AA132" s="226"/>
      <c r="AB132" s="226"/>
      <c r="AC132" s="226"/>
    </row>
    <row r="133" spans="1:29" s="225" customFormat="1">
      <c r="A133" s="446">
        <v>3500</v>
      </c>
      <c r="B133" s="446">
        <f t="shared" si="39"/>
        <v>19997.28</v>
      </c>
      <c r="C133" s="205">
        <f t="shared" si="33"/>
        <v>58.333333333333336</v>
      </c>
      <c r="D133" s="447">
        <v>3033.36</v>
      </c>
      <c r="E133" s="450">
        <v>45778</v>
      </c>
      <c r="F133" s="208"/>
      <c r="G133" s="208"/>
      <c r="H133" s="209">
        <f t="shared" si="36"/>
        <v>58.33</v>
      </c>
      <c r="I133" s="448">
        <v>43952</v>
      </c>
      <c r="J133" s="210">
        <f t="shared" si="25"/>
        <v>58.33</v>
      </c>
      <c r="K133" s="212">
        <f t="shared" si="31"/>
        <v>58.33</v>
      </c>
      <c r="L133" s="212">
        <f t="shared" si="31"/>
        <v>58.33</v>
      </c>
      <c r="M133" s="212">
        <f t="shared" si="31"/>
        <v>58.33</v>
      </c>
      <c r="N133" s="212">
        <f t="shared" si="31"/>
        <v>58.33</v>
      </c>
      <c r="O133" s="212">
        <f t="shared" si="31"/>
        <v>58.33</v>
      </c>
      <c r="P133" s="212">
        <f t="shared" si="31"/>
        <v>58.33</v>
      </c>
      <c r="Q133" s="212">
        <f t="shared" si="31"/>
        <v>58.33</v>
      </c>
      <c r="R133" s="212">
        <f t="shared" si="30"/>
        <v>58.33</v>
      </c>
      <c r="S133" s="212">
        <f t="shared" si="30"/>
        <v>58.33</v>
      </c>
      <c r="T133" s="212">
        <f t="shared" si="30"/>
        <v>58.33</v>
      </c>
      <c r="U133" s="212">
        <f t="shared" si="30"/>
        <v>58.33</v>
      </c>
      <c r="V133" s="211">
        <f t="shared" si="37"/>
        <v>699.96</v>
      </c>
      <c r="W133" s="259">
        <f t="shared" si="38"/>
        <v>2800.04</v>
      </c>
      <c r="X133" s="353"/>
      <c r="Y133" s="226"/>
      <c r="Z133" s="226"/>
      <c r="AA133" s="226"/>
      <c r="AB133" s="226"/>
      <c r="AC133" s="226"/>
    </row>
    <row r="134" spans="1:29" s="225" customFormat="1">
      <c r="A134" s="446">
        <v>7350</v>
      </c>
      <c r="B134" s="446">
        <f t="shared" si="39"/>
        <v>27347.279999999999</v>
      </c>
      <c r="C134" s="205">
        <f t="shared" si="33"/>
        <v>122.5</v>
      </c>
      <c r="D134" s="447">
        <v>6492.5</v>
      </c>
      <c r="E134" s="450">
        <v>45809</v>
      </c>
      <c r="F134" s="208"/>
      <c r="G134" s="208"/>
      <c r="H134" s="209">
        <f t="shared" si="36"/>
        <v>122.5</v>
      </c>
      <c r="I134" s="448">
        <v>44002</v>
      </c>
      <c r="J134" s="210">
        <f t="shared" si="25"/>
        <v>122.5</v>
      </c>
      <c r="K134" s="212">
        <f t="shared" si="31"/>
        <v>122.5</v>
      </c>
      <c r="L134" s="212">
        <f t="shared" si="31"/>
        <v>122.5</v>
      </c>
      <c r="M134" s="212">
        <f t="shared" si="31"/>
        <v>122.5</v>
      </c>
      <c r="N134" s="212">
        <f t="shared" si="31"/>
        <v>122.5</v>
      </c>
      <c r="O134" s="212">
        <f t="shared" ref="K134:U152" si="40">IF(O$7&lt;$I134,"",IF(O$7=$I134,+$C134,IF(O$7&lt;=$E134,+(ROUND(($A134-$C134)/59,2)),"- - DONE - -")))</f>
        <v>122.5</v>
      </c>
      <c r="P134" s="212">
        <f t="shared" si="40"/>
        <v>122.5</v>
      </c>
      <c r="Q134" s="212">
        <f t="shared" si="40"/>
        <v>122.5</v>
      </c>
      <c r="R134" s="212">
        <f t="shared" si="30"/>
        <v>122.5</v>
      </c>
      <c r="S134" s="212">
        <f t="shared" si="30"/>
        <v>122.5</v>
      </c>
      <c r="T134" s="212">
        <f t="shared" si="30"/>
        <v>122.5</v>
      </c>
      <c r="U134" s="212">
        <f t="shared" si="30"/>
        <v>122.5</v>
      </c>
      <c r="V134" s="211">
        <f t="shared" si="37"/>
        <v>1470</v>
      </c>
      <c r="W134" s="259">
        <f t="shared" si="38"/>
        <v>5880</v>
      </c>
      <c r="X134" s="353"/>
      <c r="Y134" s="226"/>
      <c r="Z134" s="226"/>
      <c r="AA134" s="226"/>
      <c r="AB134" s="226"/>
      <c r="AC134" s="226"/>
    </row>
    <row r="135" spans="1:29" s="225" customFormat="1">
      <c r="A135" s="446">
        <v>4551.74</v>
      </c>
      <c r="B135" s="446">
        <f t="shared" si="39"/>
        <v>31899.019999999997</v>
      </c>
      <c r="C135" s="205">
        <f t="shared" si="33"/>
        <v>75.862333333333325</v>
      </c>
      <c r="D135" s="447">
        <v>4096.58</v>
      </c>
      <c r="E135" s="450">
        <v>45839</v>
      </c>
      <c r="F135" s="208"/>
      <c r="G135" s="208"/>
      <c r="H135" s="209">
        <f t="shared" si="36"/>
        <v>75.86</v>
      </c>
      <c r="I135" s="448">
        <v>44013</v>
      </c>
      <c r="J135" s="210">
        <f t="shared" si="25"/>
        <v>75.86</v>
      </c>
      <c r="K135" s="212">
        <f t="shared" si="40"/>
        <v>75.86</v>
      </c>
      <c r="L135" s="212">
        <f t="shared" si="40"/>
        <v>75.86</v>
      </c>
      <c r="M135" s="212">
        <f t="shared" si="40"/>
        <v>75.86</v>
      </c>
      <c r="N135" s="212">
        <f t="shared" si="40"/>
        <v>75.86</v>
      </c>
      <c r="O135" s="212">
        <f t="shared" si="40"/>
        <v>75.86</v>
      </c>
      <c r="P135" s="212">
        <f t="shared" si="40"/>
        <v>75.86</v>
      </c>
      <c r="Q135" s="212">
        <f t="shared" si="40"/>
        <v>75.86</v>
      </c>
      <c r="R135" s="212">
        <f t="shared" si="30"/>
        <v>75.86</v>
      </c>
      <c r="S135" s="212">
        <f t="shared" si="30"/>
        <v>75.86</v>
      </c>
      <c r="T135" s="212">
        <f t="shared" si="30"/>
        <v>75.86</v>
      </c>
      <c r="U135" s="212">
        <f t="shared" si="30"/>
        <v>75.86</v>
      </c>
      <c r="V135" s="211">
        <f t="shared" si="37"/>
        <v>910.32</v>
      </c>
      <c r="W135" s="259">
        <f t="shared" si="38"/>
        <v>3641.4199999999996</v>
      </c>
      <c r="X135" s="353"/>
      <c r="Y135" s="226"/>
      <c r="Z135" s="226"/>
      <c r="AA135" s="226"/>
      <c r="AB135" s="226"/>
      <c r="AC135" s="226"/>
    </row>
    <row r="136" spans="1:29" s="225" customFormat="1">
      <c r="A136" s="446">
        <v>5250</v>
      </c>
      <c r="B136" s="446">
        <f t="shared" si="39"/>
        <v>37149.019999999997</v>
      </c>
      <c r="C136" s="205">
        <f t="shared" si="33"/>
        <v>87.5</v>
      </c>
      <c r="D136" s="447">
        <v>4812.5</v>
      </c>
      <c r="E136" s="450">
        <v>45870</v>
      </c>
      <c r="F136" s="208"/>
      <c r="G136" s="208"/>
      <c r="H136" s="209">
        <f t="shared" si="36"/>
        <v>87.5</v>
      </c>
      <c r="I136" s="448">
        <v>44044</v>
      </c>
      <c r="J136" s="210">
        <f t="shared" si="25"/>
        <v>87.5</v>
      </c>
      <c r="K136" s="212">
        <f t="shared" si="40"/>
        <v>87.5</v>
      </c>
      <c r="L136" s="212">
        <f t="shared" si="40"/>
        <v>87.5</v>
      </c>
      <c r="M136" s="212">
        <f t="shared" si="40"/>
        <v>87.5</v>
      </c>
      <c r="N136" s="212">
        <f t="shared" si="40"/>
        <v>87.5</v>
      </c>
      <c r="O136" s="212">
        <f t="shared" si="40"/>
        <v>87.5</v>
      </c>
      <c r="P136" s="212">
        <f t="shared" si="40"/>
        <v>87.5</v>
      </c>
      <c r="Q136" s="212">
        <f t="shared" si="40"/>
        <v>87.5</v>
      </c>
      <c r="R136" s="212">
        <f t="shared" si="30"/>
        <v>87.5</v>
      </c>
      <c r="S136" s="212">
        <f t="shared" si="30"/>
        <v>87.5</v>
      </c>
      <c r="T136" s="212">
        <f t="shared" si="30"/>
        <v>87.5</v>
      </c>
      <c r="U136" s="212">
        <f t="shared" si="30"/>
        <v>87.5</v>
      </c>
      <c r="V136" s="211">
        <f t="shared" si="37"/>
        <v>1050</v>
      </c>
      <c r="W136" s="259">
        <f t="shared" si="38"/>
        <v>4200</v>
      </c>
      <c r="X136" s="353"/>
      <c r="Y136" s="226"/>
      <c r="Z136" s="226"/>
      <c r="AA136" s="226"/>
      <c r="AB136" s="226"/>
      <c r="AC136" s="226"/>
    </row>
    <row r="137" spans="1:29" s="225" customFormat="1">
      <c r="A137" s="446">
        <v>5950</v>
      </c>
      <c r="B137" s="446">
        <f t="shared" si="39"/>
        <v>43099.02</v>
      </c>
      <c r="C137" s="205">
        <f t="shared" si="33"/>
        <v>99.166666666666671</v>
      </c>
      <c r="D137" s="447">
        <v>5553.32</v>
      </c>
      <c r="E137" s="450">
        <v>45901</v>
      </c>
      <c r="F137" s="208"/>
      <c r="G137" s="208"/>
      <c r="H137" s="209">
        <f t="shared" si="36"/>
        <v>99.17</v>
      </c>
      <c r="I137" s="448">
        <v>44075</v>
      </c>
      <c r="J137" s="210">
        <f t="shared" si="25"/>
        <v>99.17</v>
      </c>
      <c r="K137" s="212">
        <f t="shared" si="40"/>
        <v>99.17</v>
      </c>
      <c r="L137" s="212">
        <f t="shared" si="40"/>
        <v>99.17</v>
      </c>
      <c r="M137" s="212">
        <f t="shared" si="40"/>
        <v>99.17</v>
      </c>
      <c r="N137" s="212">
        <f t="shared" si="40"/>
        <v>99.17</v>
      </c>
      <c r="O137" s="212">
        <f t="shared" si="40"/>
        <v>99.17</v>
      </c>
      <c r="P137" s="212">
        <f t="shared" si="40"/>
        <v>99.17</v>
      </c>
      <c r="Q137" s="212">
        <f t="shared" si="40"/>
        <v>99.17</v>
      </c>
      <c r="R137" s="212">
        <f t="shared" si="30"/>
        <v>99.17</v>
      </c>
      <c r="S137" s="212">
        <f t="shared" si="30"/>
        <v>99.17</v>
      </c>
      <c r="T137" s="212">
        <f t="shared" si="30"/>
        <v>99.17</v>
      </c>
      <c r="U137" s="212">
        <f t="shared" si="30"/>
        <v>99.17</v>
      </c>
      <c r="V137" s="211">
        <f t="shared" si="37"/>
        <v>1190.04</v>
      </c>
      <c r="W137" s="259">
        <f t="shared" si="38"/>
        <v>4759.96</v>
      </c>
      <c r="X137" s="353"/>
      <c r="Y137" s="226"/>
      <c r="Z137" s="226"/>
      <c r="AA137" s="226"/>
      <c r="AB137" s="226"/>
      <c r="AC137" s="226"/>
    </row>
    <row r="138" spans="1:29" s="225" customFormat="1">
      <c r="A138" s="446">
        <v>7001.74</v>
      </c>
      <c r="B138" s="446">
        <f t="shared" si="39"/>
        <v>50100.759999999995</v>
      </c>
      <c r="C138" s="205">
        <f t="shared" si="33"/>
        <v>116.69566666666667</v>
      </c>
      <c r="D138" s="447">
        <v>6651.6399999999994</v>
      </c>
      <c r="E138" s="450">
        <v>45931</v>
      </c>
      <c r="F138" s="208"/>
      <c r="G138" s="208"/>
      <c r="H138" s="209">
        <f t="shared" si="36"/>
        <v>116.7</v>
      </c>
      <c r="I138" s="448">
        <v>44105</v>
      </c>
      <c r="J138" s="210">
        <f t="shared" si="25"/>
        <v>116.7</v>
      </c>
      <c r="K138" s="212">
        <f t="shared" si="40"/>
        <v>116.7</v>
      </c>
      <c r="L138" s="212">
        <f t="shared" si="40"/>
        <v>116.7</v>
      </c>
      <c r="M138" s="212">
        <f t="shared" si="40"/>
        <v>116.7</v>
      </c>
      <c r="N138" s="212">
        <f t="shared" si="40"/>
        <v>116.7</v>
      </c>
      <c r="O138" s="212">
        <f t="shared" si="40"/>
        <v>116.7</v>
      </c>
      <c r="P138" s="212">
        <f t="shared" si="40"/>
        <v>116.7</v>
      </c>
      <c r="Q138" s="212">
        <f t="shared" si="40"/>
        <v>116.7</v>
      </c>
      <c r="R138" s="212">
        <f t="shared" si="30"/>
        <v>116.7</v>
      </c>
      <c r="S138" s="212">
        <f t="shared" si="30"/>
        <v>116.7</v>
      </c>
      <c r="T138" s="212">
        <f t="shared" si="30"/>
        <v>116.7</v>
      </c>
      <c r="U138" s="212">
        <f t="shared" si="30"/>
        <v>116.7</v>
      </c>
      <c r="V138" s="211">
        <f t="shared" si="37"/>
        <v>1400.4000000000003</v>
      </c>
      <c r="W138" s="259">
        <f t="shared" si="38"/>
        <v>5601.3399999999992</v>
      </c>
      <c r="X138" s="353"/>
      <c r="Y138" s="226"/>
      <c r="Z138" s="226"/>
      <c r="AA138" s="226"/>
      <c r="AB138" s="226"/>
      <c r="AC138" s="226"/>
    </row>
    <row r="139" spans="1:29" s="225" customFormat="1">
      <c r="A139" s="446">
        <v>1050</v>
      </c>
      <c r="B139" s="446">
        <f t="shared" si="39"/>
        <v>51150.759999999995</v>
      </c>
      <c r="C139" s="205">
        <f t="shared" si="33"/>
        <v>17.5</v>
      </c>
      <c r="D139" s="447">
        <v>1015</v>
      </c>
      <c r="E139" s="450">
        <v>45962</v>
      </c>
      <c r="F139" s="208"/>
      <c r="G139" s="208"/>
      <c r="H139" s="209">
        <f t="shared" si="36"/>
        <v>17.5</v>
      </c>
      <c r="I139" s="448">
        <v>44136</v>
      </c>
      <c r="J139" s="210">
        <f t="shared" si="25"/>
        <v>17.5</v>
      </c>
      <c r="K139" s="212">
        <f t="shared" si="40"/>
        <v>17.5</v>
      </c>
      <c r="L139" s="212">
        <f t="shared" si="40"/>
        <v>17.5</v>
      </c>
      <c r="M139" s="212">
        <f t="shared" si="40"/>
        <v>17.5</v>
      </c>
      <c r="N139" s="212">
        <f t="shared" si="40"/>
        <v>17.5</v>
      </c>
      <c r="O139" s="212">
        <f t="shared" si="40"/>
        <v>17.5</v>
      </c>
      <c r="P139" s="212">
        <f t="shared" si="40"/>
        <v>17.5</v>
      </c>
      <c r="Q139" s="212">
        <f t="shared" si="40"/>
        <v>17.5</v>
      </c>
      <c r="R139" s="212">
        <f t="shared" si="30"/>
        <v>17.5</v>
      </c>
      <c r="S139" s="212">
        <f t="shared" si="30"/>
        <v>17.5</v>
      </c>
      <c r="T139" s="212">
        <f t="shared" si="30"/>
        <v>17.5</v>
      </c>
      <c r="U139" s="212">
        <f t="shared" si="30"/>
        <v>17.5</v>
      </c>
      <c r="V139" s="211">
        <f t="shared" si="37"/>
        <v>210</v>
      </c>
      <c r="W139" s="259">
        <f t="shared" si="38"/>
        <v>840</v>
      </c>
      <c r="X139" s="353"/>
      <c r="Y139" s="226"/>
      <c r="Z139" s="226"/>
      <c r="AA139" s="226"/>
      <c r="AB139" s="226"/>
      <c r="AC139" s="226"/>
    </row>
    <row r="140" spans="1:29" s="478" customFormat="1">
      <c r="A140" s="454">
        <v>10791.74</v>
      </c>
      <c r="B140" s="454">
        <f t="shared" si="39"/>
        <v>61942.499999999993</v>
      </c>
      <c r="C140" s="338">
        <f t="shared" si="33"/>
        <v>179.86233333333334</v>
      </c>
      <c r="D140" s="455">
        <v>10611.88</v>
      </c>
      <c r="E140" s="475">
        <v>45992</v>
      </c>
      <c r="F140" s="341"/>
      <c r="G140" s="341"/>
      <c r="H140" s="342">
        <f t="shared" si="36"/>
        <v>179.86</v>
      </c>
      <c r="I140" s="456">
        <v>44166</v>
      </c>
      <c r="J140" s="343">
        <f t="shared" si="25"/>
        <v>179.86</v>
      </c>
      <c r="K140" s="343">
        <f t="shared" si="40"/>
        <v>179.86</v>
      </c>
      <c r="L140" s="343">
        <f t="shared" si="40"/>
        <v>179.86</v>
      </c>
      <c r="M140" s="343">
        <f t="shared" si="40"/>
        <v>179.86</v>
      </c>
      <c r="N140" s="343">
        <f t="shared" si="40"/>
        <v>179.86</v>
      </c>
      <c r="O140" s="343">
        <f t="shared" si="40"/>
        <v>179.86</v>
      </c>
      <c r="P140" s="343">
        <f t="shared" si="40"/>
        <v>179.86</v>
      </c>
      <c r="Q140" s="343">
        <f t="shared" si="40"/>
        <v>179.86</v>
      </c>
      <c r="R140" s="343">
        <f t="shared" si="30"/>
        <v>179.86</v>
      </c>
      <c r="S140" s="343">
        <f t="shared" si="30"/>
        <v>179.86</v>
      </c>
      <c r="T140" s="343">
        <f t="shared" si="30"/>
        <v>179.86</v>
      </c>
      <c r="U140" s="343">
        <f t="shared" si="30"/>
        <v>179.86</v>
      </c>
      <c r="V140" s="344">
        <f t="shared" si="37"/>
        <v>2158.3200000000006</v>
      </c>
      <c r="W140" s="330">
        <f t="shared" si="38"/>
        <v>8633.4199999999983</v>
      </c>
      <c r="X140" s="476"/>
      <c r="Y140" s="477"/>
      <c r="Z140" s="477"/>
      <c r="AA140" s="477"/>
      <c r="AB140" s="477"/>
      <c r="AC140" s="477"/>
    </row>
    <row r="141" spans="1:29" s="225" customFormat="1">
      <c r="A141" s="446">
        <v>4550</v>
      </c>
      <c r="B141" s="446">
        <f>A141</f>
        <v>4550</v>
      </c>
      <c r="C141" s="205">
        <f t="shared" ref="C141:C152" si="41">A141/60</f>
        <v>75.833333333333329</v>
      </c>
      <c r="D141" s="447"/>
      <c r="E141" s="450">
        <v>46023</v>
      </c>
      <c r="F141" s="208"/>
      <c r="G141" s="208"/>
      <c r="H141" s="209">
        <f t="shared" si="36"/>
        <v>75.83</v>
      </c>
      <c r="I141" s="448">
        <v>44197</v>
      </c>
      <c r="J141" s="210">
        <f t="shared" si="25"/>
        <v>75.833333333333329</v>
      </c>
      <c r="K141" s="212">
        <f t="shared" si="40"/>
        <v>75.83</v>
      </c>
      <c r="L141" s="212">
        <f t="shared" si="40"/>
        <v>75.83</v>
      </c>
      <c r="M141" s="212">
        <f t="shared" si="40"/>
        <v>75.83</v>
      </c>
      <c r="N141" s="212">
        <f t="shared" si="40"/>
        <v>75.83</v>
      </c>
      <c r="O141" s="212">
        <f t="shared" si="40"/>
        <v>75.83</v>
      </c>
      <c r="P141" s="212">
        <f t="shared" si="40"/>
        <v>75.83</v>
      </c>
      <c r="Q141" s="212">
        <f t="shared" si="40"/>
        <v>75.83</v>
      </c>
      <c r="R141" s="212">
        <f t="shared" si="40"/>
        <v>75.83</v>
      </c>
      <c r="S141" s="212">
        <f t="shared" si="40"/>
        <v>75.83</v>
      </c>
      <c r="T141" s="212">
        <f t="shared" si="40"/>
        <v>75.83</v>
      </c>
      <c r="U141" s="212">
        <f t="shared" si="40"/>
        <v>75.83</v>
      </c>
      <c r="V141" s="211">
        <f t="shared" si="37"/>
        <v>909.96333333333348</v>
      </c>
      <c r="W141" s="259">
        <f t="shared" si="38"/>
        <v>3640.0366666666664</v>
      </c>
      <c r="X141" s="353"/>
      <c r="Y141" s="226"/>
      <c r="Z141" s="226"/>
      <c r="AA141" s="226"/>
      <c r="AB141" s="226"/>
      <c r="AC141" s="226"/>
    </row>
    <row r="142" spans="1:29" s="225" customFormat="1">
      <c r="A142" s="446">
        <v>5430</v>
      </c>
      <c r="B142" s="446">
        <f t="shared" ref="B142:B152" si="42">+B141+A142</f>
        <v>9980</v>
      </c>
      <c r="C142" s="205">
        <f t="shared" si="41"/>
        <v>90.5</v>
      </c>
      <c r="D142" s="447"/>
      <c r="E142" s="450">
        <v>46054</v>
      </c>
      <c r="F142" s="208"/>
      <c r="G142" s="208"/>
      <c r="H142" s="209">
        <f t="shared" si="36"/>
        <v>90.5</v>
      </c>
      <c r="I142" s="448">
        <v>44228</v>
      </c>
      <c r="J142" s="210" t="str">
        <f t="shared" si="25"/>
        <v/>
      </c>
      <c r="K142" s="212">
        <f t="shared" si="40"/>
        <v>90.5</v>
      </c>
      <c r="L142" s="212">
        <f t="shared" si="40"/>
        <v>90.5</v>
      </c>
      <c r="M142" s="212">
        <f t="shared" si="40"/>
        <v>90.5</v>
      </c>
      <c r="N142" s="212">
        <f t="shared" si="40"/>
        <v>90.5</v>
      </c>
      <c r="O142" s="212">
        <f t="shared" si="40"/>
        <v>90.5</v>
      </c>
      <c r="P142" s="212">
        <f t="shared" si="40"/>
        <v>90.5</v>
      </c>
      <c r="Q142" s="212">
        <f t="shared" si="40"/>
        <v>90.5</v>
      </c>
      <c r="R142" s="212">
        <f t="shared" si="40"/>
        <v>90.5</v>
      </c>
      <c r="S142" s="212">
        <f t="shared" si="40"/>
        <v>90.5</v>
      </c>
      <c r="T142" s="212">
        <f t="shared" si="40"/>
        <v>90.5</v>
      </c>
      <c r="U142" s="212">
        <f t="shared" si="40"/>
        <v>90.5</v>
      </c>
      <c r="V142" s="211">
        <f t="shared" si="37"/>
        <v>995.5</v>
      </c>
      <c r="W142" s="259">
        <f t="shared" si="38"/>
        <v>4434.5</v>
      </c>
      <c r="X142" s="353"/>
      <c r="Y142" s="226"/>
      <c r="Z142" s="226"/>
      <c r="AA142" s="226"/>
      <c r="AB142" s="226"/>
      <c r="AC142" s="226"/>
    </row>
    <row r="143" spans="1:29" s="225" customFormat="1">
      <c r="A143" s="446">
        <v>7700</v>
      </c>
      <c r="B143" s="446">
        <f t="shared" si="42"/>
        <v>17680</v>
      </c>
      <c r="C143" s="205">
        <f t="shared" si="41"/>
        <v>128.33333333333334</v>
      </c>
      <c r="D143" s="447"/>
      <c r="E143" s="450">
        <v>46082</v>
      </c>
      <c r="F143" s="208"/>
      <c r="G143" s="208"/>
      <c r="H143" s="209">
        <f t="shared" si="36"/>
        <v>128.33000000000001</v>
      </c>
      <c r="I143" s="448">
        <v>44256</v>
      </c>
      <c r="J143" s="210" t="str">
        <f t="shared" si="25"/>
        <v/>
      </c>
      <c r="K143" s="212" t="str">
        <f t="shared" si="40"/>
        <v/>
      </c>
      <c r="L143" s="212">
        <f t="shared" si="40"/>
        <v>128.33000000000001</v>
      </c>
      <c r="M143" s="212">
        <f t="shared" si="40"/>
        <v>128.33000000000001</v>
      </c>
      <c r="N143" s="212">
        <f t="shared" si="40"/>
        <v>128.33000000000001</v>
      </c>
      <c r="O143" s="212">
        <f t="shared" si="40"/>
        <v>128.33000000000001</v>
      </c>
      <c r="P143" s="212">
        <f t="shared" si="40"/>
        <v>128.33000000000001</v>
      </c>
      <c r="Q143" s="212">
        <f t="shared" si="40"/>
        <v>128.33000000000001</v>
      </c>
      <c r="R143" s="212">
        <f t="shared" si="40"/>
        <v>128.33000000000001</v>
      </c>
      <c r="S143" s="212">
        <f t="shared" si="40"/>
        <v>128.33000000000001</v>
      </c>
      <c r="T143" s="212">
        <f t="shared" si="40"/>
        <v>128.33000000000001</v>
      </c>
      <c r="U143" s="212">
        <f t="shared" si="40"/>
        <v>128.33000000000001</v>
      </c>
      <c r="V143" s="211">
        <f t="shared" si="37"/>
        <v>1283.3</v>
      </c>
      <c r="W143" s="259">
        <f t="shared" si="38"/>
        <v>6416.7</v>
      </c>
      <c r="X143" s="353"/>
      <c r="Y143" s="226"/>
      <c r="Z143" s="226"/>
      <c r="AA143" s="226"/>
      <c r="AB143" s="226"/>
      <c r="AC143" s="226"/>
    </row>
    <row r="144" spans="1:29" s="225" customFormat="1">
      <c r="A144" s="446">
        <v>5881</v>
      </c>
      <c r="B144" s="446">
        <f t="shared" si="42"/>
        <v>23561</v>
      </c>
      <c r="C144" s="205">
        <f t="shared" si="41"/>
        <v>98.016666666666666</v>
      </c>
      <c r="D144" s="447"/>
      <c r="E144" s="450">
        <v>46113</v>
      </c>
      <c r="F144" s="208"/>
      <c r="G144" s="208"/>
      <c r="H144" s="209">
        <f t="shared" si="36"/>
        <v>98.02</v>
      </c>
      <c r="I144" s="448">
        <v>44287</v>
      </c>
      <c r="J144" s="210" t="str">
        <f t="shared" si="25"/>
        <v/>
      </c>
      <c r="K144" s="212" t="str">
        <f t="shared" si="40"/>
        <v/>
      </c>
      <c r="L144" s="212" t="str">
        <f t="shared" si="40"/>
        <v/>
      </c>
      <c r="M144" s="212">
        <f t="shared" si="40"/>
        <v>98.02</v>
      </c>
      <c r="N144" s="212">
        <f t="shared" si="40"/>
        <v>98.02</v>
      </c>
      <c r="O144" s="212">
        <f t="shared" si="40"/>
        <v>98.02</v>
      </c>
      <c r="P144" s="212">
        <f t="shared" si="40"/>
        <v>98.02</v>
      </c>
      <c r="Q144" s="212">
        <f t="shared" si="40"/>
        <v>98.02</v>
      </c>
      <c r="R144" s="212">
        <f t="shared" si="40"/>
        <v>98.02</v>
      </c>
      <c r="S144" s="212">
        <f t="shared" si="40"/>
        <v>98.02</v>
      </c>
      <c r="T144" s="212">
        <f t="shared" si="40"/>
        <v>98.02</v>
      </c>
      <c r="U144" s="212">
        <f t="shared" si="40"/>
        <v>98.02</v>
      </c>
      <c r="V144" s="211">
        <f t="shared" si="37"/>
        <v>882.18</v>
      </c>
      <c r="W144" s="259">
        <f t="shared" si="38"/>
        <v>4998.82</v>
      </c>
      <c r="X144" s="353"/>
      <c r="Y144" s="226"/>
      <c r="Z144" s="226"/>
      <c r="AA144" s="226"/>
      <c r="AB144" s="226"/>
      <c r="AC144" s="226"/>
    </row>
    <row r="145" spans="1:29" s="225" customFormat="1">
      <c r="A145" s="446">
        <v>5250</v>
      </c>
      <c r="B145" s="446">
        <f t="shared" si="42"/>
        <v>28811</v>
      </c>
      <c r="C145" s="205">
        <f t="shared" si="41"/>
        <v>87.5</v>
      </c>
      <c r="D145" s="447"/>
      <c r="E145" s="450">
        <v>46143</v>
      </c>
      <c r="F145" s="208"/>
      <c r="G145" s="208"/>
      <c r="H145" s="209">
        <f t="shared" si="36"/>
        <v>87.5</v>
      </c>
      <c r="I145" s="448">
        <v>44317</v>
      </c>
      <c r="J145" s="210" t="str">
        <f t="shared" ref="J145:J152" si="43">IF(J$7&lt;$I145,"",IF(J$7=$I145,+$C145,IF(J$7&lt;=$E145,+(ROUND(($A145-$C145)/59,2)),"- - DONE - -")))</f>
        <v/>
      </c>
      <c r="K145" s="212" t="str">
        <f t="shared" si="40"/>
        <v/>
      </c>
      <c r="L145" s="212" t="str">
        <f t="shared" si="40"/>
        <v/>
      </c>
      <c r="M145" s="212" t="str">
        <f t="shared" si="40"/>
        <v/>
      </c>
      <c r="N145" s="212">
        <f t="shared" si="40"/>
        <v>87.5</v>
      </c>
      <c r="O145" s="212">
        <f t="shared" si="40"/>
        <v>87.5</v>
      </c>
      <c r="P145" s="212">
        <f t="shared" si="40"/>
        <v>87.5</v>
      </c>
      <c r="Q145" s="212">
        <f t="shared" si="40"/>
        <v>87.5</v>
      </c>
      <c r="R145" s="212">
        <f t="shared" si="40"/>
        <v>87.5</v>
      </c>
      <c r="S145" s="212">
        <f t="shared" si="40"/>
        <v>87.5</v>
      </c>
      <c r="T145" s="212">
        <f t="shared" si="40"/>
        <v>87.5</v>
      </c>
      <c r="U145" s="212">
        <f t="shared" si="40"/>
        <v>87.5</v>
      </c>
      <c r="V145" s="211">
        <f t="shared" si="37"/>
        <v>700</v>
      </c>
      <c r="W145" s="259">
        <f t="shared" si="38"/>
        <v>4550</v>
      </c>
      <c r="X145" s="353"/>
      <c r="Y145" s="226"/>
      <c r="Z145" s="226"/>
      <c r="AA145" s="226"/>
      <c r="AB145" s="226"/>
      <c r="AC145" s="226"/>
    </row>
    <row r="146" spans="1:29" s="225" customFormat="1">
      <c r="A146" s="446">
        <v>6130.5</v>
      </c>
      <c r="B146" s="446">
        <f t="shared" si="42"/>
        <v>34941.5</v>
      </c>
      <c r="C146" s="205">
        <f t="shared" si="41"/>
        <v>102.175</v>
      </c>
      <c r="D146" s="447"/>
      <c r="E146" s="450">
        <v>46174</v>
      </c>
      <c r="F146" s="208"/>
      <c r="G146" s="208"/>
      <c r="H146" s="209">
        <f t="shared" si="36"/>
        <v>102.18</v>
      </c>
      <c r="I146" s="448">
        <v>44348</v>
      </c>
      <c r="J146" s="210" t="str">
        <f t="shared" si="43"/>
        <v/>
      </c>
      <c r="K146" s="212" t="str">
        <f t="shared" si="40"/>
        <v/>
      </c>
      <c r="L146" s="212" t="str">
        <f t="shared" si="40"/>
        <v/>
      </c>
      <c r="M146" s="212" t="str">
        <f t="shared" si="40"/>
        <v/>
      </c>
      <c r="N146" s="212" t="str">
        <f t="shared" si="40"/>
        <v/>
      </c>
      <c r="O146" s="212">
        <f t="shared" si="40"/>
        <v>102.18</v>
      </c>
      <c r="P146" s="212">
        <f t="shared" si="40"/>
        <v>102.18</v>
      </c>
      <c r="Q146" s="212">
        <f t="shared" si="40"/>
        <v>102.18</v>
      </c>
      <c r="R146" s="212">
        <f t="shared" si="40"/>
        <v>102.18</v>
      </c>
      <c r="S146" s="212">
        <f t="shared" si="40"/>
        <v>102.18</v>
      </c>
      <c r="T146" s="212">
        <f t="shared" si="40"/>
        <v>102.18</v>
      </c>
      <c r="U146" s="212">
        <f t="shared" si="40"/>
        <v>102.18</v>
      </c>
      <c r="V146" s="211">
        <f t="shared" si="37"/>
        <v>715.26</v>
      </c>
      <c r="W146" s="259">
        <f t="shared" si="38"/>
        <v>5415.24</v>
      </c>
      <c r="X146" s="353"/>
      <c r="Y146" s="226"/>
      <c r="Z146" s="226"/>
      <c r="AA146" s="226"/>
      <c r="AB146" s="226"/>
      <c r="AC146" s="226"/>
    </row>
    <row r="147" spans="1:29" s="225" customFormat="1">
      <c r="A147" s="446">
        <v>4200</v>
      </c>
      <c r="B147" s="446">
        <f t="shared" si="42"/>
        <v>39141.5</v>
      </c>
      <c r="C147" s="205">
        <f t="shared" si="41"/>
        <v>70</v>
      </c>
      <c r="D147" s="447"/>
      <c r="E147" s="450">
        <v>46204</v>
      </c>
      <c r="F147" s="208"/>
      <c r="G147" s="208"/>
      <c r="H147" s="209">
        <f t="shared" si="36"/>
        <v>70</v>
      </c>
      <c r="I147" s="448">
        <v>44378</v>
      </c>
      <c r="J147" s="210" t="str">
        <f t="shared" si="43"/>
        <v/>
      </c>
      <c r="K147" s="212" t="str">
        <f t="shared" si="40"/>
        <v/>
      </c>
      <c r="L147" s="212" t="str">
        <f t="shared" si="40"/>
        <v/>
      </c>
      <c r="M147" s="212" t="str">
        <f t="shared" si="40"/>
        <v/>
      </c>
      <c r="N147" s="212" t="str">
        <f t="shared" si="40"/>
        <v/>
      </c>
      <c r="O147" s="212" t="str">
        <f t="shared" si="40"/>
        <v/>
      </c>
      <c r="P147" s="212">
        <f t="shared" si="40"/>
        <v>70</v>
      </c>
      <c r="Q147" s="212">
        <f t="shared" si="40"/>
        <v>70</v>
      </c>
      <c r="R147" s="212">
        <f t="shared" si="40"/>
        <v>70</v>
      </c>
      <c r="S147" s="212">
        <f t="shared" si="40"/>
        <v>70</v>
      </c>
      <c r="T147" s="212">
        <f t="shared" si="40"/>
        <v>70</v>
      </c>
      <c r="U147" s="212">
        <f t="shared" si="40"/>
        <v>70</v>
      </c>
      <c r="V147" s="211">
        <f t="shared" si="37"/>
        <v>420</v>
      </c>
      <c r="W147" s="259">
        <f t="shared" si="38"/>
        <v>3780</v>
      </c>
      <c r="X147" s="353"/>
      <c r="Y147" s="226"/>
      <c r="Z147" s="226"/>
      <c r="AA147" s="226"/>
      <c r="AB147" s="226"/>
      <c r="AC147" s="226"/>
    </row>
    <row r="148" spans="1:29" s="225" customFormat="1">
      <c r="A148" s="446">
        <v>8400</v>
      </c>
      <c r="B148" s="446">
        <f t="shared" si="42"/>
        <v>47541.5</v>
      </c>
      <c r="C148" s="205">
        <f t="shared" si="41"/>
        <v>140</v>
      </c>
      <c r="D148" s="447"/>
      <c r="E148" s="450">
        <v>46235</v>
      </c>
      <c r="F148" s="208"/>
      <c r="G148" s="208"/>
      <c r="H148" s="209">
        <f t="shared" si="36"/>
        <v>140</v>
      </c>
      <c r="I148" s="448">
        <v>44409</v>
      </c>
      <c r="J148" s="210" t="str">
        <f t="shared" si="43"/>
        <v/>
      </c>
      <c r="K148" s="212" t="str">
        <f t="shared" si="40"/>
        <v/>
      </c>
      <c r="L148" s="212" t="str">
        <f t="shared" si="40"/>
        <v/>
      </c>
      <c r="M148" s="212" t="str">
        <f t="shared" si="40"/>
        <v/>
      </c>
      <c r="N148" s="212" t="str">
        <f t="shared" si="40"/>
        <v/>
      </c>
      <c r="O148" s="212" t="str">
        <f t="shared" si="40"/>
        <v/>
      </c>
      <c r="P148" s="212" t="str">
        <f t="shared" si="40"/>
        <v/>
      </c>
      <c r="Q148" s="212">
        <f t="shared" si="40"/>
        <v>140</v>
      </c>
      <c r="R148" s="212">
        <f t="shared" si="40"/>
        <v>140</v>
      </c>
      <c r="S148" s="212">
        <f t="shared" si="40"/>
        <v>140</v>
      </c>
      <c r="T148" s="212">
        <f t="shared" si="40"/>
        <v>140</v>
      </c>
      <c r="U148" s="212">
        <f t="shared" si="40"/>
        <v>140</v>
      </c>
      <c r="V148" s="211">
        <f t="shared" si="37"/>
        <v>700</v>
      </c>
      <c r="W148" s="259">
        <f t="shared" si="38"/>
        <v>7700</v>
      </c>
      <c r="X148" s="353"/>
      <c r="Y148" s="226"/>
      <c r="Z148" s="226"/>
      <c r="AA148" s="226"/>
      <c r="AB148" s="226"/>
      <c r="AC148" s="226"/>
    </row>
    <row r="149" spans="1:29" s="225" customFormat="1">
      <c r="A149" s="446">
        <v>2800</v>
      </c>
      <c r="B149" s="446">
        <f t="shared" si="42"/>
        <v>50341.5</v>
      </c>
      <c r="C149" s="205">
        <f t="shared" si="41"/>
        <v>46.666666666666664</v>
      </c>
      <c r="D149" s="447"/>
      <c r="E149" s="450">
        <v>46266</v>
      </c>
      <c r="F149" s="208"/>
      <c r="G149" s="208"/>
      <c r="H149" s="209">
        <f t="shared" si="36"/>
        <v>46.67</v>
      </c>
      <c r="I149" s="448">
        <v>44440</v>
      </c>
      <c r="J149" s="210" t="str">
        <f t="shared" si="43"/>
        <v/>
      </c>
      <c r="K149" s="212" t="str">
        <f t="shared" si="40"/>
        <v/>
      </c>
      <c r="L149" s="212" t="str">
        <f t="shared" si="40"/>
        <v/>
      </c>
      <c r="M149" s="212" t="str">
        <f t="shared" si="40"/>
        <v/>
      </c>
      <c r="N149" s="212" t="str">
        <f t="shared" si="40"/>
        <v/>
      </c>
      <c r="O149" s="212" t="str">
        <f t="shared" si="40"/>
        <v/>
      </c>
      <c r="P149" s="212" t="str">
        <f t="shared" si="40"/>
        <v/>
      </c>
      <c r="Q149" s="212" t="str">
        <f t="shared" si="40"/>
        <v/>
      </c>
      <c r="R149" s="212">
        <f t="shared" si="40"/>
        <v>46.67</v>
      </c>
      <c r="S149" s="212">
        <f t="shared" si="40"/>
        <v>46.67</v>
      </c>
      <c r="T149" s="212">
        <f t="shared" si="40"/>
        <v>46.67</v>
      </c>
      <c r="U149" s="212">
        <f t="shared" si="40"/>
        <v>46.67</v>
      </c>
      <c r="V149" s="211">
        <f t="shared" si="37"/>
        <v>186.68</v>
      </c>
      <c r="W149" s="259">
        <f t="shared" si="38"/>
        <v>2613.3200000000002</v>
      </c>
      <c r="X149" s="353"/>
      <c r="Y149" s="226"/>
      <c r="Z149" s="226"/>
      <c r="AA149" s="226"/>
      <c r="AB149" s="226"/>
      <c r="AC149" s="226"/>
    </row>
    <row r="150" spans="1:29" s="225" customFormat="1">
      <c r="A150" s="446">
        <v>2800</v>
      </c>
      <c r="B150" s="446">
        <f t="shared" si="42"/>
        <v>53141.5</v>
      </c>
      <c r="C150" s="205">
        <f t="shared" si="41"/>
        <v>46.666666666666664</v>
      </c>
      <c r="D150" s="447"/>
      <c r="E150" s="450">
        <v>46296</v>
      </c>
      <c r="F150" s="208"/>
      <c r="G150" s="208"/>
      <c r="H150" s="209">
        <f t="shared" si="36"/>
        <v>46.67</v>
      </c>
      <c r="I150" s="448">
        <v>44470</v>
      </c>
      <c r="J150" s="210" t="str">
        <f t="shared" si="43"/>
        <v/>
      </c>
      <c r="K150" s="212" t="str">
        <f t="shared" si="40"/>
        <v/>
      </c>
      <c r="L150" s="212" t="str">
        <f t="shared" si="40"/>
        <v/>
      </c>
      <c r="M150" s="212" t="str">
        <f t="shared" si="40"/>
        <v/>
      </c>
      <c r="N150" s="212" t="str">
        <f t="shared" si="40"/>
        <v/>
      </c>
      <c r="O150" s="212" t="str">
        <f t="shared" si="40"/>
        <v/>
      </c>
      <c r="P150" s="212" t="str">
        <f t="shared" si="40"/>
        <v/>
      </c>
      <c r="Q150" s="212" t="str">
        <f t="shared" si="40"/>
        <v/>
      </c>
      <c r="R150" s="212" t="str">
        <f t="shared" si="40"/>
        <v/>
      </c>
      <c r="S150" s="212">
        <f t="shared" si="40"/>
        <v>46.67</v>
      </c>
      <c r="T150" s="212">
        <f t="shared" si="40"/>
        <v>46.67</v>
      </c>
      <c r="U150" s="212">
        <f t="shared" si="40"/>
        <v>46.67</v>
      </c>
      <c r="V150" s="211">
        <f t="shared" si="37"/>
        <v>140.01</v>
      </c>
      <c r="W150" s="259">
        <f t="shared" si="38"/>
        <v>2659.99</v>
      </c>
      <c r="X150" s="353"/>
      <c r="Y150" s="226"/>
      <c r="Z150" s="226"/>
      <c r="AA150" s="226"/>
      <c r="AB150" s="226"/>
      <c r="AC150" s="226"/>
    </row>
    <row r="151" spans="1:29" s="225" customFormat="1">
      <c r="A151" s="446">
        <v>3500</v>
      </c>
      <c r="B151" s="446">
        <f t="shared" si="42"/>
        <v>56641.5</v>
      </c>
      <c r="C151" s="205">
        <f t="shared" si="41"/>
        <v>58.333333333333336</v>
      </c>
      <c r="D151" s="447"/>
      <c r="E151" s="450">
        <v>46327</v>
      </c>
      <c r="F151" s="208"/>
      <c r="G151" s="208"/>
      <c r="H151" s="209">
        <f t="shared" si="36"/>
        <v>58.33</v>
      </c>
      <c r="I151" s="448">
        <v>44501</v>
      </c>
      <c r="J151" s="210" t="str">
        <f t="shared" si="43"/>
        <v/>
      </c>
      <c r="K151" s="212" t="str">
        <f t="shared" si="40"/>
        <v/>
      </c>
      <c r="L151" s="212" t="str">
        <f t="shared" si="40"/>
        <v/>
      </c>
      <c r="M151" s="212" t="str">
        <f t="shared" si="40"/>
        <v/>
      </c>
      <c r="N151" s="212" t="str">
        <f t="shared" si="40"/>
        <v/>
      </c>
      <c r="O151" s="212" t="str">
        <f t="shared" si="40"/>
        <v/>
      </c>
      <c r="P151" s="212" t="str">
        <f t="shared" si="40"/>
        <v/>
      </c>
      <c r="Q151" s="212" t="str">
        <f t="shared" si="40"/>
        <v/>
      </c>
      <c r="R151" s="212" t="str">
        <f t="shared" si="40"/>
        <v/>
      </c>
      <c r="S151" s="212" t="str">
        <f t="shared" si="40"/>
        <v/>
      </c>
      <c r="T151" s="212">
        <f t="shared" si="40"/>
        <v>58.33</v>
      </c>
      <c r="U151" s="212">
        <f t="shared" si="40"/>
        <v>58.33</v>
      </c>
      <c r="V151" s="211">
        <f t="shared" si="37"/>
        <v>116.66</v>
      </c>
      <c r="W151" s="259">
        <f t="shared" si="38"/>
        <v>3383.34</v>
      </c>
      <c r="X151" s="353"/>
      <c r="Y151" s="226"/>
      <c r="Z151" s="226"/>
      <c r="AA151" s="226"/>
      <c r="AB151" s="226"/>
      <c r="AC151" s="226"/>
    </row>
    <row r="152" spans="1:29" s="225" customFormat="1">
      <c r="A152" s="446">
        <v>4900</v>
      </c>
      <c r="B152" s="446">
        <f t="shared" si="42"/>
        <v>61541.5</v>
      </c>
      <c r="C152" s="205">
        <f t="shared" si="41"/>
        <v>81.666666666666671</v>
      </c>
      <c r="D152" s="447"/>
      <c r="E152" s="450">
        <v>46357</v>
      </c>
      <c r="F152" s="208"/>
      <c r="G152" s="208"/>
      <c r="H152" s="209">
        <f t="shared" si="36"/>
        <v>81.67</v>
      </c>
      <c r="I152" s="448">
        <v>44531</v>
      </c>
      <c r="J152" s="210" t="str">
        <f t="shared" si="43"/>
        <v/>
      </c>
      <c r="K152" s="212" t="str">
        <f t="shared" si="40"/>
        <v/>
      </c>
      <c r="L152" s="212" t="str">
        <f t="shared" si="40"/>
        <v/>
      </c>
      <c r="M152" s="212" t="str">
        <f t="shared" si="40"/>
        <v/>
      </c>
      <c r="N152" s="212" t="str">
        <f t="shared" si="40"/>
        <v/>
      </c>
      <c r="O152" s="212" t="str">
        <f t="shared" si="40"/>
        <v/>
      </c>
      <c r="P152" s="212" t="str">
        <f t="shared" si="40"/>
        <v/>
      </c>
      <c r="Q152" s="212" t="str">
        <f t="shared" si="40"/>
        <v/>
      </c>
      <c r="R152" s="212" t="str">
        <f t="shared" si="40"/>
        <v/>
      </c>
      <c r="S152" s="212" t="str">
        <f t="shared" si="40"/>
        <v/>
      </c>
      <c r="T152" s="212" t="str">
        <f t="shared" si="40"/>
        <v/>
      </c>
      <c r="U152" s="212">
        <f t="shared" si="40"/>
        <v>81.67</v>
      </c>
      <c r="V152" s="211">
        <f t="shared" si="37"/>
        <v>81.67</v>
      </c>
      <c r="W152" s="259">
        <f t="shared" si="38"/>
        <v>4818.33</v>
      </c>
      <c r="X152" s="353"/>
      <c r="Y152" s="226"/>
      <c r="Z152" s="226"/>
      <c r="AA152" s="226"/>
      <c r="AB152" s="226"/>
      <c r="AC152" s="226"/>
    </row>
    <row r="153" spans="1:29" s="225" customFormat="1" ht="16.5" thickBot="1">
      <c r="A153" s="14">
        <f>SUM(A8:A142)</f>
        <v>2130512.1599999992</v>
      </c>
      <c r="B153" s="123"/>
      <c r="C153" s="15"/>
      <c r="D153" s="419">
        <f>SUM(D8:D140)</f>
        <v>218366.87766666675</v>
      </c>
      <c r="E153" s="107"/>
      <c r="F153" s="106"/>
      <c r="G153" s="106"/>
      <c r="H153" s="17"/>
      <c r="I153" s="366" t="s">
        <v>99</v>
      </c>
      <c r="J153" s="122">
        <f>ROUND(SUM(J8:J152),2)</f>
        <v>8749.17</v>
      </c>
      <c r="K153" s="122">
        <f t="shared" ref="K153:T153" si="44">SUM(K8:K152)</f>
        <v>8648.07</v>
      </c>
      <c r="L153" s="122">
        <f t="shared" si="44"/>
        <v>8625.51</v>
      </c>
      <c r="M153" s="122">
        <f t="shared" si="44"/>
        <v>8590.3700000000008</v>
      </c>
      <c r="N153" s="122">
        <f t="shared" si="44"/>
        <v>8567.09</v>
      </c>
      <c r="O153" s="122">
        <f t="shared" si="44"/>
        <v>8493.6200000000008</v>
      </c>
      <c r="P153" s="122">
        <f t="shared" si="44"/>
        <v>8382.24</v>
      </c>
      <c r="Q153" s="122">
        <f t="shared" si="44"/>
        <v>8311.369999999999</v>
      </c>
      <c r="R153" s="122">
        <f t="shared" si="44"/>
        <v>8067.4800000000005</v>
      </c>
      <c r="S153" s="122">
        <f t="shared" si="44"/>
        <v>7858.22</v>
      </c>
      <c r="T153" s="122">
        <f t="shared" si="44"/>
        <v>7558.4400000000005</v>
      </c>
      <c r="U153" s="464">
        <f>SUM(U8:U152)</f>
        <v>7569.38</v>
      </c>
      <c r="V153" s="122">
        <f>SUM(V8:V140)</f>
        <v>92289.74</v>
      </c>
      <c r="W153" s="122">
        <f>SUM(W8:W140)</f>
        <v>132257.63400000002</v>
      </c>
      <c r="X153" s="353"/>
    </row>
    <row r="154" spans="1:29" s="225" customFormat="1" ht="16.5" thickTop="1" thickBot="1">
      <c r="A154" s="115"/>
      <c r="B154" s="115"/>
      <c r="C154" s="115"/>
      <c r="D154" s="121"/>
      <c r="E154" s="110"/>
      <c r="F154" s="120"/>
      <c r="G154" s="120"/>
      <c r="H154" s="119"/>
      <c r="I154" s="367" t="s">
        <v>33</v>
      </c>
      <c r="J154" s="118">
        <f>+J153</f>
        <v>8749.17</v>
      </c>
      <c r="K154" s="118">
        <f t="shared" ref="K154:U154" si="45">+J154+K153</f>
        <v>17397.239999999998</v>
      </c>
      <c r="L154" s="118">
        <f>+K154+L153</f>
        <v>26022.75</v>
      </c>
      <c r="M154" s="118">
        <f t="shared" si="45"/>
        <v>34613.120000000003</v>
      </c>
      <c r="N154" s="118">
        <f t="shared" si="45"/>
        <v>43180.210000000006</v>
      </c>
      <c r="O154" s="118">
        <f>+N154+O153</f>
        <v>51673.830000000009</v>
      </c>
      <c r="P154" s="118">
        <f>+O154+P153</f>
        <v>60056.070000000007</v>
      </c>
      <c r="Q154" s="118">
        <f t="shared" si="45"/>
        <v>68367.44</v>
      </c>
      <c r="R154" s="118">
        <f>+Q154+R153</f>
        <v>76434.92</v>
      </c>
      <c r="S154" s="118">
        <f>+R154+S153</f>
        <v>84293.14</v>
      </c>
      <c r="T154" s="118">
        <f t="shared" si="45"/>
        <v>91851.58</v>
      </c>
      <c r="U154" s="118">
        <f t="shared" si="45"/>
        <v>99420.96</v>
      </c>
      <c r="V154" s="117"/>
      <c r="W154" s="116"/>
      <c r="X154" s="353"/>
    </row>
    <row r="155" spans="1:29" s="225" customFormat="1" thickTop="1">
      <c r="A155" s="27"/>
      <c r="B155" s="380"/>
      <c r="C155" s="380"/>
      <c r="D155" s="8"/>
      <c r="E155" s="110"/>
      <c r="F155" s="114"/>
      <c r="G155" s="114"/>
      <c r="H155" s="113"/>
      <c r="I155" s="368"/>
      <c r="J155" s="112"/>
      <c r="K155" s="112"/>
      <c r="L155" s="112"/>
      <c r="M155" s="112"/>
      <c r="N155" s="112"/>
      <c r="O155" s="112"/>
      <c r="P155" s="112"/>
      <c r="Q155" s="112"/>
      <c r="R155" s="112"/>
      <c r="S155" s="112"/>
      <c r="T155" s="112"/>
      <c r="U155" s="112"/>
      <c r="V155" s="111"/>
      <c r="W155" s="110"/>
      <c r="X155" s="353"/>
    </row>
    <row r="156" spans="1:29" s="225" customFormat="1">
      <c r="A156" s="8"/>
      <c r="B156" s="109"/>
      <c r="C156" s="8"/>
      <c r="D156" s="67"/>
      <c r="E156" s="9"/>
      <c r="F156" s="73"/>
      <c r="G156" s="73"/>
      <c r="H156" s="10"/>
      <c r="I156" s="369" t="s">
        <v>17</v>
      </c>
      <c r="J156" s="8">
        <f>+$D$153-J154+B141</f>
        <v>214167.70766666674</v>
      </c>
      <c r="K156" s="8">
        <f>+$D$153-K154+B142</f>
        <v>210949.63766666676</v>
      </c>
      <c r="L156" s="8">
        <f>+$D$153-L154+B143</f>
        <v>210024.12766666675</v>
      </c>
      <c r="M156" s="8">
        <f>+$D$153-M154+$B$144</f>
        <v>207314.75766666676</v>
      </c>
      <c r="N156" s="8">
        <f>+$D$153-N154+$B$145</f>
        <v>203997.66766666673</v>
      </c>
      <c r="O156" s="8">
        <f>+$D$153-O154+$B$146</f>
        <v>201634.54766666674</v>
      </c>
      <c r="P156" s="8">
        <f>+$D$153-P154+$B$147</f>
        <v>197452.30766666675</v>
      </c>
      <c r="Q156" s="8">
        <f>+$D$153-Q154+$B$148</f>
        <v>197540.93766666675</v>
      </c>
      <c r="R156" s="8">
        <f>+$D$153-R154+$B$149</f>
        <v>192273.45766666677</v>
      </c>
      <c r="S156" s="8">
        <f>+$D$153-S154+$B$150</f>
        <v>187215.23766666674</v>
      </c>
      <c r="T156" s="8">
        <f>+$D$153-T154+$B$151</f>
        <v>183156.79766666674</v>
      </c>
      <c r="U156" s="8">
        <f>+$D$153-U154+$B$152</f>
        <v>180487.41766666673</v>
      </c>
      <c r="V156" s="31">
        <f>W153-U156</f>
        <v>-48229.783666666714</v>
      </c>
      <c r="W156" s="8"/>
      <c r="X156" s="353"/>
    </row>
    <row r="157" spans="1:29" s="225" customFormat="1">
      <c r="A157" s="8"/>
      <c r="B157" s="109"/>
      <c r="C157" s="8"/>
      <c r="D157" s="67"/>
      <c r="E157" s="9"/>
      <c r="F157" s="73"/>
      <c r="G157" s="73"/>
      <c r="H157" s="10"/>
      <c r="I157" s="369" t="s">
        <v>50</v>
      </c>
      <c r="J157" s="63">
        <f>'CONV FN__ INPUT'!R9</f>
        <v>214167.70766666674</v>
      </c>
      <c r="K157" s="63">
        <f>'CONV FN__ INPUT'!R10</f>
        <v>210949.63766666673</v>
      </c>
      <c r="L157" s="63">
        <f>'CONV FN__ INPUT'!R11</f>
        <v>210024.12766666673</v>
      </c>
      <c r="M157" s="63">
        <f>'CONV FN__ INPUT'!R12</f>
        <v>207314.75766666673</v>
      </c>
      <c r="N157" s="63">
        <f>'CONV FN__ INPUT'!R13</f>
        <v>203997.66766666673</v>
      </c>
      <c r="O157" s="63">
        <f>'CONV FN__ INPUT'!R14</f>
        <v>201634.54766666674</v>
      </c>
      <c r="P157" s="63">
        <f>'CONV FN__ INPUT'!R15</f>
        <v>197452.30766666675</v>
      </c>
      <c r="Q157" s="63">
        <f>'CONV FN__ INPUT'!R16</f>
        <v>197540.93766666675</v>
      </c>
      <c r="R157" s="63">
        <f>'CONV FN__ INPUT'!R17</f>
        <v>192273.45766666674</v>
      </c>
      <c r="S157" s="63">
        <f>'CONV FN__ INPUT'!R18</f>
        <v>187215.23766666674</v>
      </c>
      <c r="T157" s="63">
        <f>'CONV FN__ INPUT'!R19</f>
        <v>183156.79766666674</v>
      </c>
      <c r="U157" s="63">
        <f>'CONV FN__ INPUT'!R20</f>
        <v>180487.41766666673</v>
      </c>
      <c r="V157" s="31"/>
      <c r="W157" s="8"/>
      <c r="X157" s="353"/>
    </row>
    <row r="158" spans="1:29" s="225" customFormat="1" ht="15.75" thickBot="1">
      <c r="A158" s="8"/>
      <c r="B158" s="109"/>
      <c r="C158" s="8"/>
      <c r="D158" s="229"/>
      <c r="E158" s="107"/>
      <c r="F158" s="106"/>
      <c r="G158" s="106"/>
      <c r="H158" s="10"/>
      <c r="I158" s="369" t="s">
        <v>18</v>
      </c>
      <c r="J158" s="105">
        <f>IF(J157&lt;&gt;0,+J156-J157,"")</f>
        <v>0</v>
      </c>
      <c r="K158" s="105">
        <f>IF(K157&lt;&gt;0,+K156-K157,"")</f>
        <v>2.9103830456733704E-11</v>
      </c>
      <c r="L158" s="105">
        <f>IF(L157&lt;&gt;0,+L156-L157,"")</f>
        <v>2.9103830456733704E-11</v>
      </c>
      <c r="M158" s="105">
        <f t="shared" ref="M158:U158" si="46">IF(M157&lt;&gt;0,+M156-M157,"")</f>
        <v>2.9103830456733704E-11</v>
      </c>
      <c r="N158" s="105">
        <f t="shared" si="46"/>
        <v>0</v>
      </c>
      <c r="O158" s="105">
        <f t="shared" si="46"/>
        <v>0</v>
      </c>
      <c r="P158" s="105">
        <f t="shared" si="46"/>
        <v>0</v>
      </c>
      <c r="Q158" s="105">
        <f t="shared" si="46"/>
        <v>0</v>
      </c>
      <c r="R158" s="105">
        <f t="shared" si="46"/>
        <v>2.9103830456733704E-11</v>
      </c>
      <c r="S158" s="105">
        <f t="shared" si="46"/>
        <v>0</v>
      </c>
      <c r="T158" s="105">
        <f t="shared" si="46"/>
        <v>0</v>
      </c>
      <c r="U158" s="105">
        <f t="shared" si="46"/>
        <v>0</v>
      </c>
      <c r="V158" s="32"/>
      <c r="W158" s="104"/>
      <c r="X158" s="353"/>
    </row>
    <row r="159" spans="1:29" s="225" customFormat="1" ht="16.5" thickTop="1" thickBot="1">
      <c r="A159" s="8"/>
      <c r="B159" s="109"/>
      <c r="C159" s="8"/>
      <c r="D159" s="108"/>
      <c r="E159" s="107"/>
      <c r="F159" s="106"/>
      <c r="G159" s="106"/>
      <c r="H159" s="10"/>
      <c r="I159" s="369" t="s">
        <v>31</v>
      </c>
      <c r="J159" s="105" t="str">
        <f>IF(J157&lt;&gt;0,IF(ROUND(J156-J157,2)=0,"- - OK - -","E R R O R"),"")</f>
        <v>- - OK - -</v>
      </c>
      <c r="K159" s="105" t="str">
        <f t="shared" ref="K159:V159" si="47">IF(K157&lt;&gt;0,IF(ROUND(K156-K157,2)=0,"- - OK - -","E R R O R"),"")</f>
        <v>- - OK - -</v>
      </c>
      <c r="L159" s="105" t="str">
        <f t="shared" si="47"/>
        <v>- - OK - -</v>
      </c>
      <c r="M159" s="105" t="str">
        <f t="shared" si="47"/>
        <v>- - OK - -</v>
      </c>
      <c r="N159" s="105" t="str">
        <f t="shared" si="47"/>
        <v>- - OK - -</v>
      </c>
      <c r="O159" s="105" t="str">
        <f t="shared" si="47"/>
        <v>- - OK - -</v>
      </c>
      <c r="P159" s="105" t="str">
        <f t="shared" si="47"/>
        <v>- - OK - -</v>
      </c>
      <c r="Q159" s="105" t="str">
        <f t="shared" si="47"/>
        <v>- - OK - -</v>
      </c>
      <c r="R159" s="105" t="str">
        <f t="shared" si="47"/>
        <v>- - OK - -</v>
      </c>
      <c r="S159" s="105" t="str">
        <f t="shared" si="47"/>
        <v>- - OK - -</v>
      </c>
      <c r="T159" s="105" t="str">
        <f t="shared" si="47"/>
        <v>- - OK - -</v>
      </c>
      <c r="U159" s="105" t="str">
        <f t="shared" si="47"/>
        <v>- - OK - -</v>
      </c>
      <c r="V159" s="105" t="str">
        <f t="shared" si="47"/>
        <v/>
      </c>
      <c r="W159" s="104"/>
      <c r="X159" s="353"/>
    </row>
    <row r="160" spans="1:29" s="225" customFormat="1" thickTop="1">
      <c r="A160" s="97"/>
      <c r="B160" s="102"/>
      <c r="C160" s="97"/>
      <c r="D160" s="100"/>
      <c r="E160" s="99"/>
      <c r="F160" s="98"/>
      <c r="G160" s="98"/>
      <c r="H160" s="97"/>
      <c r="I160" s="370"/>
      <c r="J160" s="103"/>
      <c r="K160" s="103"/>
      <c r="L160" s="103"/>
      <c r="M160" s="103"/>
      <c r="N160" s="263">
        <f>+N7</f>
        <v>44321</v>
      </c>
      <c r="O160" s="263">
        <f t="shared" ref="O160:U160" si="48">+O7</f>
        <v>44352</v>
      </c>
      <c r="P160" s="263">
        <f t="shared" si="48"/>
        <v>44383</v>
      </c>
      <c r="Q160" s="263">
        <f t="shared" si="48"/>
        <v>44414</v>
      </c>
      <c r="R160" s="263">
        <f t="shared" si="48"/>
        <v>44445</v>
      </c>
      <c r="S160" s="263">
        <f t="shared" si="48"/>
        <v>44476</v>
      </c>
      <c r="T160" s="263">
        <f t="shared" si="48"/>
        <v>44507</v>
      </c>
      <c r="U160" s="263">
        <f t="shared" si="48"/>
        <v>44538</v>
      </c>
      <c r="V160" s="103"/>
      <c r="W160" s="103"/>
      <c r="X160" s="353"/>
    </row>
    <row r="161" spans="1:24" s="225" customFormat="1" ht="15.75">
      <c r="A161" s="97"/>
      <c r="B161" s="102"/>
      <c r="C161" s="97"/>
      <c r="D161" s="100"/>
      <c r="E161" s="99"/>
      <c r="F161" s="98"/>
      <c r="G161" s="98"/>
      <c r="H161" s="97"/>
      <c r="I161" s="370"/>
      <c r="J161" s="101"/>
      <c r="K161" s="395"/>
      <c r="L161" s="397"/>
      <c r="M161" s="396"/>
      <c r="N161" s="96"/>
      <c r="O161" s="101"/>
      <c r="P161" s="96"/>
      <c r="Q161" s="96"/>
      <c r="R161" s="96"/>
      <c r="S161" s="96"/>
      <c r="T161" s="96"/>
      <c r="U161" s="96"/>
      <c r="V161" s="96"/>
      <c r="W161" s="96"/>
      <c r="X161" s="353"/>
    </row>
    <row r="162" spans="1:24" s="225" customFormat="1" ht="18">
      <c r="A162" s="398"/>
      <c r="B162" s="399"/>
      <c r="C162" s="400"/>
      <c r="D162" s="401"/>
      <c r="E162" s="402"/>
      <c r="F162" s="403"/>
      <c r="G162" s="403"/>
      <c r="H162" s="400"/>
      <c r="I162" s="404"/>
      <c r="J162" s="405"/>
      <c r="K162" s="406"/>
      <c r="L162" s="406"/>
      <c r="M162" s="407"/>
      <c r="N162" s="408"/>
      <c r="O162" s="408"/>
      <c r="P162" s="408"/>
      <c r="Q162" s="408"/>
      <c r="R162" s="408"/>
      <c r="S162" s="408"/>
      <c r="T162" s="408"/>
      <c r="U162" s="408"/>
      <c r="V162" s="408"/>
      <c r="W162" s="408"/>
      <c r="X162" s="353"/>
    </row>
    <row r="163" spans="1:24" s="225" customFormat="1" ht="15.75">
      <c r="A163" s="409"/>
      <c r="B163" s="409"/>
      <c r="C163" s="409"/>
      <c r="D163" s="410"/>
      <c r="E163" s="411"/>
      <c r="F163" s="412"/>
      <c r="G163" s="412"/>
      <c r="H163" s="409"/>
      <c r="I163" s="336"/>
      <c r="J163" s="176"/>
      <c r="K163" s="413"/>
      <c r="L163" s="413"/>
      <c r="M163" s="375"/>
      <c r="N163" s="176"/>
      <c r="O163" s="176"/>
      <c r="P163" s="176"/>
      <c r="Q163" s="176"/>
      <c r="R163" s="176"/>
      <c r="S163" s="176"/>
      <c r="T163" s="176"/>
      <c r="U163" s="176"/>
      <c r="V163" s="176"/>
      <c r="W163" s="176"/>
      <c r="X163" s="353"/>
    </row>
    <row r="164" spans="1:24" ht="15.75">
      <c r="A164" s="409"/>
      <c r="B164" s="176"/>
      <c r="C164" s="176"/>
      <c r="D164" s="410"/>
      <c r="E164" s="411"/>
      <c r="F164" s="414"/>
      <c r="G164" s="414"/>
      <c r="H164" s="415"/>
      <c r="I164" s="416"/>
      <c r="J164" s="417"/>
      <c r="K164" s="417"/>
      <c r="L164" s="176"/>
      <c r="M164" s="176"/>
      <c r="N164" s="176"/>
      <c r="O164" s="176"/>
      <c r="P164" s="176"/>
      <c r="Q164" s="176"/>
      <c r="R164" s="176"/>
      <c r="S164" s="176"/>
      <c r="T164" s="176"/>
      <c r="U164" s="176"/>
      <c r="V164" s="176"/>
      <c r="W164" s="176"/>
    </row>
    <row r="165" spans="1:24" ht="15.75">
      <c r="A165" s="409"/>
      <c r="B165" s="176"/>
      <c r="C165" s="176"/>
      <c r="D165" s="410"/>
      <c r="E165" s="411"/>
      <c r="F165" s="414"/>
      <c r="G165" s="414"/>
      <c r="H165" s="415"/>
      <c r="I165" s="416"/>
      <c r="J165" s="104"/>
      <c r="K165" s="104"/>
      <c r="L165" s="176"/>
      <c r="M165" s="176"/>
      <c r="N165" s="176"/>
      <c r="O165" s="176"/>
      <c r="P165" s="176"/>
      <c r="Q165" s="176"/>
      <c r="R165" s="176"/>
      <c r="S165" s="176"/>
      <c r="T165" s="176"/>
      <c r="U165" s="176"/>
      <c r="V165" s="176"/>
      <c r="W165" s="176"/>
    </row>
    <row r="166" spans="1:24" ht="15.75">
      <c r="A166" s="409"/>
      <c r="B166" s="176"/>
      <c r="C166" s="176"/>
      <c r="D166" s="410"/>
      <c r="E166" s="411"/>
      <c r="F166" s="414"/>
      <c r="G166" s="414"/>
      <c r="H166" s="415"/>
      <c r="I166" s="416"/>
      <c r="J166" s="104"/>
      <c r="K166" s="104"/>
      <c r="L166" s="176"/>
      <c r="M166" s="176"/>
      <c r="N166" s="176"/>
      <c r="O166" s="176"/>
      <c r="P166" s="176"/>
      <c r="Q166" s="176"/>
      <c r="R166" s="176"/>
      <c r="S166" s="176"/>
      <c r="T166" s="176"/>
      <c r="U166" s="176"/>
      <c r="V166" s="176"/>
      <c r="W166" s="176"/>
    </row>
    <row r="167" spans="1:24" ht="15.75">
      <c r="A167" s="418"/>
      <c r="B167" s="176"/>
      <c r="C167" s="176"/>
      <c r="D167" s="176"/>
      <c r="E167" s="411"/>
      <c r="F167" s="176"/>
      <c r="G167" s="176"/>
      <c r="H167" s="176"/>
      <c r="I167" s="336"/>
      <c r="J167" s="176"/>
      <c r="K167" s="176"/>
      <c r="L167" s="176"/>
      <c r="M167" s="176"/>
      <c r="N167" s="176"/>
      <c r="O167" s="176"/>
      <c r="P167" s="176"/>
      <c r="Q167" s="176"/>
      <c r="R167" s="176"/>
      <c r="S167" s="176"/>
      <c r="T167" s="176"/>
      <c r="U167" s="176"/>
      <c r="V167" s="176"/>
      <c r="W167" s="176"/>
    </row>
    <row r="168" spans="1:24" ht="15.75">
      <c r="A168" s="418"/>
      <c r="B168" s="176"/>
      <c r="C168" s="176"/>
      <c r="D168" s="176"/>
      <c r="E168" s="411"/>
      <c r="F168" s="176"/>
      <c r="G168" s="176"/>
      <c r="H168" s="176"/>
      <c r="I168" s="336"/>
      <c r="J168" s="176"/>
      <c r="K168" s="176"/>
      <c r="L168" s="176"/>
      <c r="M168" s="176"/>
      <c r="N168" s="176"/>
      <c r="O168" s="176"/>
      <c r="P168" s="176"/>
      <c r="Q168" s="176"/>
      <c r="R168" s="176"/>
      <c r="S168" s="176"/>
      <c r="T168" s="176"/>
      <c r="U168" s="176"/>
      <c r="V168" s="176"/>
      <c r="W168" s="176"/>
    </row>
    <row r="169" spans="1:24">
      <c r="A169" s="409"/>
      <c r="B169" s="176"/>
      <c r="C169" s="176"/>
      <c r="D169" s="176"/>
      <c r="E169" s="411"/>
      <c r="F169" s="176"/>
      <c r="G169" s="176"/>
      <c r="H169" s="176"/>
      <c r="I169" s="336"/>
      <c r="J169" s="176"/>
      <c r="K169" s="176"/>
      <c r="L169" s="176"/>
      <c r="M169" s="176"/>
      <c r="N169" s="176"/>
      <c r="O169" s="176"/>
      <c r="P169" s="176"/>
      <c r="Q169" s="176"/>
      <c r="R169" s="176"/>
      <c r="S169" s="176"/>
      <c r="T169" s="176"/>
      <c r="U169" s="176"/>
      <c r="V169" s="176"/>
      <c r="W169" s="176"/>
    </row>
    <row r="170" spans="1:24">
      <c r="A170" s="176"/>
      <c r="B170" s="176"/>
      <c r="C170" s="176"/>
      <c r="D170" s="410"/>
      <c r="E170" s="411"/>
      <c r="F170" s="414"/>
      <c r="G170" s="414"/>
      <c r="H170" s="176"/>
      <c r="I170" s="336"/>
      <c r="J170" s="176"/>
      <c r="K170" s="176"/>
      <c r="L170" s="176"/>
      <c r="M170" s="176"/>
      <c r="N170" s="176"/>
      <c r="O170" s="176"/>
      <c r="P170" s="176"/>
      <c r="Q170" s="176"/>
      <c r="R170" s="176"/>
      <c r="S170" s="176"/>
      <c r="T170" s="176"/>
      <c r="U170" s="176"/>
      <c r="V170" s="176"/>
      <c r="W170" s="176"/>
      <c r="X170" s="375"/>
    </row>
  </sheetData>
  <sheetProtection sheet="1"/>
  <printOptions horizontalCentered="1"/>
  <pageMargins left="0.25" right="0.25" top="0.5" bottom="0.25" header="0" footer="0.2"/>
  <pageSetup scale="43" fitToHeight="0" orientation="landscape" cellComments="asDisplayed" r:id="rId1"/>
  <headerFooter alignWithMargins="0">
    <oddFooter>&amp;L&amp;10&amp;Z&amp;F_&amp;A
&amp;P of &amp;N</oddFooter>
  </headerFooter>
  <rowBreaks count="1" manualBreakCount="1">
    <brk id="55" max="22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2"/>
  <sheetViews>
    <sheetView topLeftCell="E34" workbookViewId="0">
      <selection activeCell="H58" sqref="H58"/>
    </sheetView>
  </sheetViews>
  <sheetFormatPr defaultRowHeight="15"/>
  <cols>
    <col min="1" max="1" width="12.21875" customWidth="1"/>
    <col min="2" max="2" width="13.6640625" bestFit="1" customWidth="1"/>
    <col min="3" max="3" width="13.33203125" customWidth="1"/>
    <col min="4" max="4" width="9.21875" customWidth="1"/>
    <col min="5" max="5" width="16.6640625" bestFit="1" customWidth="1"/>
    <col min="6" max="6" width="18.6640625" bestFit="1" customWidth="1"/>
    <col min="7" max="9" width="12.109375" bestFit="1" customWidth="1"/>
    <col min="10" max="10" width="15.77734375" bestFit="1" customWidth="1"/>
    <col min="11" max="11" width="10.109375" bestFit="1" customWidth="1"/>
    <col min="12" max="12" width="33.88671875" bestFit="1" customWidth="1"/>
    <col min="13" max="13" width="30.77734375" bestFit="1" customWidth="1"/>
    <col min="14" max="15" width="13.21875" bestFit="1" customWidth="1"/>
    <col min="16" max="16" width="12.44140625" bestFit="1" customWidth="1"/>
    <col min="17" max="17" width="13.21875" bestFit="1" customWidth="1"/>
    <col min="18" max="18" width="14.21875" bestFit="1" customWidth="1"/>
  </cols>
  <sheetData>
    <row r="1" spans="1:18" ht="15.75">
      <c r="A1" t="s">
        <v>115</v>
      </c>
      <c r="B1" s="385" t="s">
        <v>60</v>
      </c>
      <c r="C1" s="385" t="s">
        <v>61</v>
      </c>
      <c r="D1" s="385" t="s">
        <v>62</v>
      </c>
      <c r="E1" s="385" t="s">
        <v>63</v>
      </c>
      <c r="F1" s="385" t="s">
        <v>64</v>
      </c>
      <c r="G1" s="385" t="s">
        <v>65</v>
      </c>
      <c r="H1" s="385" t="s">
        <v>66</v>
      </c>
      <c r="I1" s="385" t="s">
        <v>67</v>
      </c>
      <c r="J1" s="385" t="s">
        <v>68</v>
      </c>
      <c r="K1" s="386" t="s">
        <v>69</v>
      </c>
      <c r="L1" s="385" t="s">
        <v>36</v>
      </c>
      <c r="M1" s="385" t="s">
        <v>70</v>
      </c>
      <c r="N1" s="385" t="s">
        <v>71</v>
      </c>
      <c r="O1" s="385" t="s">
        <v>72</v>
      </c>
      <c r="P1" s="451" t="s">
        <v>73</v>
      </c>
      <c r="Q1" s="451" t="s">
        <v>74</v>
      </c>
      <c r="R1" s="385" t="s">
        <v>75</v>
      </c>
    </row>
    <row r="2" spans="1:18" ht="15.75">
      <c r="A2" t="str">
        <f>RIGHT(J2,4)</f>
        <v>PIPE</v>
      </c>
      <c r="B2" s="441" t="s">
        <v>76</v>
      </c>
      <c r="C2" s="441" t="s">
        <v>77</v>
      </c>
      <c r="D2" s="441" t="s">
        <v>158</v>
      </c>
      <c r="E2" s="441" t="s">
        <v>120</v>
      </c>
      <c r="F2" s="441" t="s">
        <v>82</v>
      </c>
      <c r="G2" s="441" t="s">
        <v>78</v>
      </c>
      <c r="H2" s="441" t="s">
        <v>79</v>
      </c>
      <c r="I2" s="441" t="s">
        <v>80</v>
      </c>
      <c r="J2" s="441" t="s">
        <v>117</v>
      </c>
      <c r="K2" s="442">
        <v>378.5</v>
      </c>
      <c r="L2" s="441" t="s">
        <v>146</v>
      </c>
      <c r="M2" s="441" t="s">
        <v>118</v>
      </c>
      <c r="N2" s="441" t="s">
        <v>151</v>
      </c>
      <c r="O2" s="441" t="s">
        <v>159</v>
      </c>
      <c r="P2" s="452">
        <v>44532</v>
      </c>
      <c r="Q2" s="452">
        <v>44533</v>
      </c>
      <c r="R2" s="441" t="s">
        <v>81</v>
      </c>
    </row>
    <row r="3" spans="1:18" ht="15.75">
      <c r="A3" t="str">
        <f t="shared" ref="A3:A38" si="0">RIGHT(J3,4)</f>
        <v>PIPE</v>
      </c>
      <c r="B3" s="441" t="s">
        <v>76</v>
      </c>
      <c r="C3" s="441" t="s">
        <v>77</v>
      </c>
      <c r="D3" s="441" t="s">
        <v>158</v>
      </c>
      <c r="E3" s="441" t="s">
        <v>120</v>
      </c>
      <c r="F3" s="441" t="s">
        <v>82</v>
      </c>
      <c r="G3" s="441" t="s">
        <v>78</v>
      </c>
      <c r="H3" s="441" t="s">
        <v>79</v>
      </c>
      <c r="I3" s="441" t="s">
        <v>80</v>
      </c>
      <c r="J3" s="441" t="s">
        <v>148</v>
      </c>
      <c r="K3" s="442">
        <v>744</v>
      </c>
      <c r="L3" s="441" t="s">
        <v>146</v>
      </c>
      <c r="M3" s="441" t="s">
        <v>118</v>
      </c>
      <c r="N3" s="441" t="s">
        <v>157</v>
      </c>
      <c r="O3" s="441" t="s">
        <v>160</v>
      </c>
      <c r="P3" s="452">
        <v>44532</v>
      </c>
      <c r="Q3" s="452">
        <v>44533</v>
      </c>
      <c r="R3" s="441" t="s">
        <v>81</v>
      </c>
    </row>
    <row r="4" spans="1:18" ht="15.75">
      <c r="A4" t="str">
        <f t="shared" si="0"/>
        <v>PIPE</v>
      </c>
      <c r="B4" s="441" t="s">
        <v>76</v>
      </c>
      <c r="C4" s="441" t="s">
        <v>77</v>
      </c>
      <c r="D4" s="441" t="s">
        <v>158</v>
      </c>
      <c r="E4" s="441" t="s">
        <v>120</v>
      </c>
      <c r="F4" s="441" t="s">
        <v>82</v>
      </c>
      <c r="G4" s="441" t="s">
        <v>78</v>
      </c>
      <c r="H4" s="441" t="s">
        <v>79</v>
      </c>
      <c r="I4" s="441" t="s">
        <v>80</v>
      </c>
      <c r="J4" s="441" t="s">
        <v>117</v>
      </c>
      <c r="K4" s="442">
        <v>225</v>
      </c>
      <c r="L4" s="441" t="s">
        <v>146</v>
      </c>
      <c r="M4" s="441" t="s">
        <v>118</v>
      </c>
      <c r="N4" s="441" t="s">
        <v>152</v>
      </c>
      <c r="O4" s="441" t="s">
        <v>161</v>
      </c>
      <c r="P4" s="452">
        <v>44532</v>
      </c>
      <c r="Q4" s="452">
        <v>44533</v>
      </c>
      <c r="R4" s="441" t="s">
        <v>81</v>
      </c>
    </row>
    <row r="5" spans="1:18" ht="15.75">
      <c r="A5" t="str">
        <f t="shared" si="0"/>
        <v>PIPE</v>
      </c>
      <c r="B5" s="441" t="s">
        <v>76</v>
      </c>
      <c r="C5" s="441" t="s">
        <v>77</v>
      </c>
      <c r="D5" s="441" t="s">
        <v>158</v>
      </c>
      <c r="E5" s="441" t="s">
        <v>120</v>
      </c>
      <c r="F5" s="441" t="s">
        <v>82</v>
      </c>
      <c r="G5" s="441" t="s">
        <v>78</v>
      </c>
      <c r="H5" s="441" t="s">
        <v>79</v>
      </c>
      <c r="I5" s="441" t="s">
        <v>80</v>
      </c>
      <c r="J5" s="441" t="s">
        <v>117</v>
      </c>
      <c r="K5" s="442">
        <v>205</v>
      </c>
      <c r="L5" s="441" t="s">
        <v>146</v>
      </c>
      <c r="M5" s="441" t="s">
        <v>118</v>
      </c>
      <c r="N5" s="441" t="s">
        <v>154</v>
      </c>
      <c r="O5" s="441" t="s">
        <v>162</v>
      </c>
      <c r="P5" s="452">
        <v>44532</v>
      </c>
      <c r="Q5" s="452">
        <v>44533</v>
      </c>
      <c r="R5" s="441" t="s">
        <v>81</v>
      </c>
    </row>
    <row r="6" spans="1:18" ht="15.75">
      <c r="A6" t="str">
        <f t="shared" si="0"/>
        <v>PIPE</v>
      </c>
      <c r="B6" s="441" t="s">
        <v>76</v>
      </c>
      <c r="C6" s="441" t="s">
        <v>77</v>
      </c>
      <c r="D6" s="441" t="s">
        <v>158</v>
      </c>
      <c r="E6" s="441" t="s">
        <v>120</v>
      </c>
      <c r="F6" s="441" t="s">
        <v>82</v>
      </c>
      <c r="G6" s="441" t="s">
        <v>78</v>
      </c>
      <c r="H6" s="441" t="s">
        <v>79</v>
      </c>
      <c r="I6" s="441" t="s">
        <v>80</v>
      </c>
      <c r="J6" s="441" t="s">
        <v>117</v>
      </c>
      <c r="K6" s="442">
        <v>160</v>
      </c>
      <c r="L6" s="441" t="s">
        <v>146</v>
      </c>
      <c r="M6" s="441" t="s">
        <v>118</v>
      </c>
      <c r="N6" s="441" t="s">
        <v>156</v>
      </c>
      <c r="O6" s="441" t="s">
        <v>163</v>
      </c>
      <c r="P6" s="452">
        <v>44532</v>
      </c>
      <c r="Q6" s="452">
        <v>44533</v>
      </c>
      <c r="R6" s="441" t="s">
        <v>81</v>
      </c>
    </row>
    <row r="7" spans="1:18" ht="15.75">
      <c r="A7" t="str">
        <f t="shared" si="0"/>
        <v>PIPE</v>
      </c>
      <c r="B7" s="441" t="s">
        <v>76</v>
      </c>
      <c r="C7" s="441" t="s">
        <v>77</v>
      </c>
      <c r="D7" s="441" t="s">
        <v>158</v>
      </c>
      <c r="E7" s="441" t="s">
        <v>120</v>
      </c>
      <c r="F7" s="441" t="s">
        <v>82</v>
      </c>
      <c r="G7" s="441" t="s">
        <v>78</v>
      </c>
      <c r="H7" s="441" t="s">
        <v>79</v>
      </c>
      <c r="I7" s="441" t="s">
        <v>80</v>
      </c>
      <c r="J7" s="441" t="s">
        <v>117</v>
      </c>
      <c r="K7" s="442">
        <v>120</v>
      </c>
      <c r="L7" s="441" t="s">
        <v>146</v>
      </c>
      <c r="M7" s="441" t="s">
        <v>118</v>
      </c>
      <c r="N7" s="441" t="s">
        <v>155</v>
      </c>
      <c r="O7" s="441" t="s">
        <v>164</v>
      </c>
      <c r="P7" s="452">
        <v>44532</v>
      </c>
      <c r="Q7" s="452">
        <v>44533</v>
      </c>
      <c r="R7" s="441" t="s">
        <v>81</v>
      </c>
    </row>
    <row r="8" spans="1:18" ht="15.75">
      <c r="A8" t="str">
        <f t="shared" si="0"/>
        <v>PIPE</v>
      </c>
      <c r="B8" s="441" t="s">
        <v>76</v>
      </c>
      <c r="C8" s="441" t="s">
        <v>77</v>
      </c>
      <c r="D8" s="441" t="s">
        <v>158</v>
      </c>
      <c r="E8" s="441" t="s">
        <v>120</v>
      </c>
      <c r="F8" s="441" t="s">
        <v>82</v>
      </c>
      <c r="G8" s="441" t="s">
        <v>78</v>
      </c>
      <c r="H8" s="441" t="s">
        <v>79</v>
      </c>
      <c r="I8" s="441" t="s">
        <v>80</v>
      </c>
      <c r="J8" s="441" t="s">
        <v>117</v>
      </c>
      <c r="K8" s="442">
        <v>130</v>
      </c>
      <c r="L8" s="441" t="s">
        <v>146</v>
      </c>
      <c r="M8" s="441" t="s">
        <v>118</v>
      </c>
      <c r="N8" s="441" t="s">
        <v>153</v>
      </c>
      <c r="O8" s="441" t="s">
        <v>165</v>
      </c>
      <c r="P8" s="452">
        <v>44532</v>
      </c>
      <c r="Q8" s="452">
        <v>44533</v>
      </c>
      <c r="R8" s="441" t="s">
        <v>81</v>
      </c>
    </row>
    <row r="9" spans="1:18" ht="15.75">
      <c r="A9" t="str">
        <f t="shared" si="0"/>
        <v>PIPE</v>
      </c>
      <c r="B9" s="441" t="s">
        <v>49</v>
      </c>
      <c r="C9" s="441" t="s">
        <v>82</v>
      </c>
      <c r="D9" s="441" t="s">
        <v>166</v>
      </c>
      <c r="E9" s="441" t="s">
        <v>120</v>
      </c>
      <c r="F9" s="441" t="s">
        <v>82</v>
      </c>
      <c r="G9" s="441" t="s">
        <v>78</v>
      </c>
      <c r="H9" s="441" t="s">
        <v>79</v>
      </c>
      <c r="I9" s="441" t="s">
        <v>80</v>
      </c>
      <c r="J9" s="441" t="s">
        <v>117</v>
      </c>
      <c r="K9" s="442">
        <v>-378.5</v>
      </c>
      <c r="L9" s="441" t="s">
        <v>147</v>
      </c>
      <c r="M9" s="441" t="s">
        <v>149</v>
      </c>
      <c r="N9" s="441" t="s">
        <v>151</v>
      </c>
      <c r="O9" s="441" t="s">
        <v>150</v>
      </c>
      <c r="P9" s="452">
        <v>44561</v>
      </c>
      <c r="Q9" s="452">
        <v>44550</v>
      </c>
      <c r="R9" s="441" t="s">
        <v>81</v>
      </c>
    </row>
    <row r="10" spans="1:18" ht="15.75">
      <c r="A10" t="str">
        <f t="shared" si="0"/>
        <v>PIPE</v>
      </c>
      <c r="B10" s="441" t="s">
        <v>49</v>
      </c>
      <c r="C10" s="441" t="s">
        <v>82</v>
      </c>
      <c r="D10" s="441" t="s">
        <v>166</v>
      </c>
      <c r="E10" s="441" t="s">
        <v>120</v>
      </c>
      <c r="F10" s="441" t="s">
        <v>82</v>
      </c>
      <c r="G10" s="441" t="s">
        <v>78</v>
      </c>
      <c r="H10" s="441" t="s">
        <v>79</v>
      </c>
      <c r="I10" s="441" t="s">
        <v>80</v>
      </c>
      <c r="J10" s="441" t="s">
        <v>117</v>
      </c>
      <c r="K10" s="442">
        <v>-225</v>
      </c>
      <c r="L10" s="441" t="s">
        <v>147</v>
      </c>
      <c r="M10" s="441" t="s">
        <v>149</v>
      </c>
      <c r="N10" s="441" t="s">
        <v>152</v>
      </c>
      <c r="O10" s="441" t="s">
        <v>150</v>
      </c>
      <c r="P10" s="452">
        <v>44561</v>
      </c>
      <c r="Q10" s="452">
        <v>44550</v>
      </c>
      <c r="R10" s="441" t="s">
        <v>81</v>
      </c>
    </row>
    <row r="11" spans="1:18" ht="15.75">
      <c r="A11" t="str">
        <f>RIGHT(J11,4)</f>
        <v>PIPE</v>
      </c>
      <c r="B11" s="441" t="s">
        <v>49</v>
      </c>
      <c r="C11" s="441" t="s">
        <v>82</v>
      </c>
      <c r="D11" s="441" t="s">
        <v>166</v>
      </c>
      <c r="E11" s="441" t="s">
        <v>120</v>
      </c>
      <c r="F11" s="441" t="s">
        <v>82</v>
      </c>
      <c r="G11" s="441" t="s">
        <v>78</v>
      </c>
      <c r="H11" s="441" t="s">
        <v>79</v>
      </c>
      <c r="I11" s="441" t="s">
        <v>80</v>
      </c>
      <c r="J11" s="441" t="s">
        <v>117</v>
      </c>
      <c r="K11" s="442">
        <v>-130</v>
      </c>
      <c r="L11" s="441" t="s">
        <v>147</v>
      </c>
      <c r="M11" s="441" t="s">
        <v>149</v>
      </c>
      <c r="N11" s="441" t="s">
        <v>153</v>
      </c>
      <c r="O11" s="441" t="s">
        <v>150</v>
      </c>
      <c r="P11" s="452">
        <v>44561</v>
      </c>
      <c r="Q11" s="452">
        <v>44550</v>
      </c>
      <c r="R11" s="441" t="s">
        <v>81</v>
      </c>
    </row>
    <row r="12" spans="1:18" ht="15.75">
      <c r="A12" t="str">
        <f>RIGHT(J12,4)</f>
        <v>PIPE</v>
      </c>
      <c r="B12" s="441" t="s">
        <v>49</v>
      </c>
      <c r="C12" s="441" t="s">
        <v>82</v>
      </c>
      <c r="D12" s="441" t="s">
        <v>166</v>
      </c>
      <c r="E12" s="441" t="s">
        <v>120</v>
      </c>
      <c r="F12" s="441" t="s">
        <v>82</v>
      </c>
      <c r="G12" s="441" t="s">
        <v>78</v>
      </c>
      <c r="H12" s="441" t="s">
        <v>79</v>
      </c>
      <c r="I12" s="441" t="s">
        <v>80</v>
      </c>
      <c r="J12" s="441" t="s">
        <v>117</v>
      </c>
      <c r="K12" s="442">
        <v>-205</v>
      </c>
      <c r="L12" s="441" t="s">
        <v>147</v>
      </c>
      <c r="M12" s="441" t="s">
        <v>149</v>
      </c>
      <c r="N12" s="441" t="s">
        <v>154</v>
      </c>
      <c r="O12" s="441" t="s">
        <v>150</v>
      </c>
      <c r="P12" s="452">
        <v>44561</v>
      </c>
      <c r="Q12" s="452">
        <v>44550</v>
      </c>
      <c r="R12" s="441" t="s">
        <v>81</v>
      </c>
    </row>
    <row r="13" spans="1:18" ht="15.75">
      <c r="A13" t="str">
        <f t="shared" si="0"/>
        <v>PIPE</v>
      </c>
      <c r="B13" s="441" t="s">
        <v>49</v>
      </c>
      <c r="C13" s="441" t="s">
        <v>82</v>
      </c>
      <c r="D13" s="441" t="s">
        <v>166</v>
      </c>
      <c r="E13" s="441" t="s">
        <v>120</v>
      </c>
      <c r="F13" s="441" t="s">
        <v>82</v>
      </c>
      <c r="G13" s="441" t="s">
        <v>78</v>
      </c>
      <c r="H13" s="441" t="s">
        <v>79</v>
      </c>
      <c r="I13" s="441" t="s">
        <v>80</v>
      </c>
      <c r="J13" s="441" t="s">
        <v>117</v>
      </c>
      <c r="K13" s="442">
        <v>-120</v>
      </c>
      <c r="L13" s="441" t="s">
        <v>147</v>
      </c>
      <c r="M13" s="441" t="s">
        <v>149</v>
      </c>
      <c r="N13" s="441" t="s">
        <v>155</v>
      </c>
      <c r="O13" s="441" t="s">
        <v>150</v>
      </c>
      <c r="P13" s="452">
        <v>44561</v>
      </c>
      <c r="Q13" s="452">
        <v>44550</v>
      </c>
      <c r="R13" s="441" t="s">
        <v>81</v>
      </c>
    </row>
    <row r="14" spans="1:18" ht="15.75">
      <c r="A14" t="str">
        <f t="shared" si="0"/>
        <v>PIPE</v>
      </c>
      <c r="B14" s="441" t="s">
        <v>49</v>
      </c>
      <c r="C14" s="441" t="s">
        <v>82</v>
      </c>
      <c r="D14" s="441" t="s">
        <v>166</v>
      </c>
      <c r="E14" s="441" t="s">
        <v>120</v>
      </c>
      <c r="F14" s="441" t="s">
        <v>82</v>
      </c>
      <c r="G14" s="441" t="s">
        <v>78</v>
      </c>
      <c r="H14" s="441" t="s">
        <v>79</v>
      </c>
      <c r="I14" s="441" t="s">
        <v>80</v>
      </c>
      <c r="J14" s="441" t="s">
        <v>117</v>
      </c>
      <c r="K14" s="442">
        <v>-160</v>
      </c>
      <c r="L14" s="441" t="s">
        <v>147</v>
      </c>
      <c r="M14" s="441" t="s">
        <v>149</v>
      </c>
      <c r="N14" s="441" t="s">
        <v>156</v>
      </c>
      <c r="O14" s="441" t="s">
        <v>150</v>
      </c>
      <c r="P14" s="452">
        <v>44561</v>
      </c>
      <c r="Q14" s="452">
        <v>44550</v>
      </c>
      <c r="R14" s="441" t="s">
        <v>81</v>
      </c>
    </row>
    <row r="15" spans="1:18" ht="15.75">
      <c r="A15" t="str">
        <f t="shared" si="0"/>
        <v>PIPE</v>
      </c>
      <c r="B15" s="441" t="s">
        <v>49</v>
      </c>
      <c r="C15" s="441" t="s">
        <v>82</v>
      </c>
      <c r="D15" s="441" t="s">
        <v>166</v>
      </c>
      <c r="E15" s="441" t="s">
        <v>120</v>
      </c>
      <c r="F15" s="441" t="s">
        <v>82</v>
      </c>
      <c r="G15" s="441" t="s">
        <v>78</v>
      </c>
      <c r="H15" s="441" t="s">
        <v>79</v>
      </c>
      <c r="I15" s="441" t="s">
        <v>80</v>
      </c>
      <c r="J15" s="441" t="s">
        <v>148</v>
      </c>
      <c r="K15" s="442">
        <v>-744</v>
      </c>
      <c r="L15" s="441" t="s">
        <v>147</v>
      </c>
      <c r="M15" s="441" t="s">
        <v>149</v>
      </c>
      <c r="N15" s="441" t="s">
        <v>157</v>
      </c>
      <c r="O15" s="441" t="s">
        <v>150</v>
      </c>
      <c r="P15" s="452">
        <v>44561</v>
      </c>
      <c r="Q15" s="452">
        <v>44550</v>
      </c>
      <c r="R15" s="441" t="s">
        <v>81</v>
      </c>
    </row>
    <row r="16" spans="1:18" ht="15.75">
      <c r="A16" t="str">
        <f t="shared" si="0"/>
        <v>CONV</v>
      </c>
      <c r="B16" s="441" t="s">
        <v>76</v>
      </c>
      <c r="C16" s="441" t="s">
        <v>77</v>
      </c>
      <c r="D16" s="441" t="s">
        <v>167</v>
      </c>
      <c r="E16" s="441" t="s">
        <v>46</v>
      </c>
      <c r="F16" s="441" t="s">
        <v>83</v>
      </c>
      <c r="G16" s="441" t="s">
        <v>78</v>
      </c>
      <c r="H16" s="441" t="s">
        <v>79</v>
      </c>
      <c r="I16" s="441" t="s">
        <v>80</v>
      </c>
      <c r="J16" s="441" t="s">
        <v>52</v>
      </c>
      <c r="K16" s="442">
        <v>350</v>
      </c>
      <c r="L16" s="441" t="s">
        <v>168</v>
      </c>
      <c r="M16" s="441" t="s">
        <v>124</v>
      </c>
      <c r="N16" s="441" t="s">
        <v>169</v>
      </c>
      <c r="O16" s="441" t="s">
        <v>170</v>
      </c>
      <c r="P16" s="452">
        <v>44543</v>
      </c>
      <c r="Q16" s="452">
        <v>44544</v>
      </c>
      <c r="R16" s="441" t="s">
        <v>81</v>
      </c>
    </row>
    <row r="17" spans="1:18" ht="15.75">
      <c r="A17" t="str">
        <f t="shared" si="0"/>
        <v>CONV</v>
      </c>
      <c r="B17" s="441" t="s">
        <v>76</v>
      </c>
      <c r="C17" s="441" t="s">
        <v>77</v>
      </c>
      <c r="D17" s="441" t="s">
        <v>167</v>
      </c>
      <c r="E17" s="441" t="s">
        <v>46</v>
      </c>
      <c r="F17" s="441" t="s">
        <v>83</v>
      </c>
      <c r="G17" s="441" t="s">
        <v>78</v>
      </c>
      <c r="H17" s="441" t="s">
        <v>79</v>
      </c>
      <c r="I17" s="441" t="s">
        <v>80</v>
      </c>
      <c r="J17" s="441" t="s">
        <v>51</v>
      </c>
      <c r="K17" s="442">
        <v>350</v>
      </c>
      <c r="L17" s="441" t="s">
        <v>168</v>
      </c>
      <c r="M17" s="441" t="s">
        <v>124</v>
      </c>
      <c r="N17" s="441" t="s">
        <v>169</v>
      </c>
      <c r="O17" s="441" t="s">
        <v>170</v>
      </c>
      <c r="P17" s="452">
        <v>44543</v>
      </c>
      <c r="Q17" s="452">
        <v>44544</v>
      </c>
      <c r="R17" s="441" t="s">
        <v>81</v>
      </c>
    </row>
    <row r="18" spans="1:18" ht="15.75">
      <c r="A18" t="str">
        <f t="shared" si="0"/>
        <v>PIPE</v>
      </c>
      <c r="B18" s="441" t="s">
        <v>76</v>
      </c>
      <c r="C18" s="441" t="s">
        <v>77</v>
      </c>
      <c r="D18" s="441" t="s">
        <v>167</v>
      </c>
      <c r="E18" s="441" t="s">
        <v>120</v>
      </c>
      <c r="F18" s="441" t="s">
        <v>82</v>
      </c>
      <c r="G18" s="441" t="s">
        <v>78</v>
      </c>
      <c r="H18" s="441" t="s">
        <v>79</v>
      </c>
      <c r="I18" s="441" t="s">
        <v>80</v>
      </c>
      <c r="J18" s="441" t="s">
        <v>117</v>
      </c>
      <c r="K18" s="442">
        <v>624.5</v>
      </c>
      <c r="L18" s="441" t="s">
        <v>146</v>
      </c>
      <c r="M18" s="441" t="s">
        <v>118</v>
      </c>
      <c r="N18" s="441" t="s">
        <v>171</v>
      </c>
      <c r="O18" s="441" t="s">
        <v>172</v>
      </c>
      <c r="P18" s="452">
        <v>44543</v>
      </c>
      <c r="Q18" s="452">
        <v>44544</v>
      </c>
      <c r="R18" s="441" t="s">
        <v>81</v>
      </c>
    </row>
    <row r="19" spans="1:18" ht="15.75">
      <c r="A19" t="str">
        <f t="shared" si="0"/>
        <v>PIPE</v>
      </c>
      <c r="B19" s="441" t="s">
        <v>76</v>
      </c>
      <c r="C19" s="441" t="s">
        <v>77</v>
      </c>
      <c r="D19" s="441" t="s">
        <v>167</v>
      </c>
      <c r="E19" s="441" t="s">
        <v>120</v>
      </c>
      <c r="F19" s="441" t="s">
        <v>82</v>
      </c>
      <c r="G19" s="441" t="s">
        <v>78</v>
      </c>
      <c r="H19" s="441" t="s">
        <v>79</v>
      </c>
      <c r="I19" s="441" t="s">
        <v>80</v>
      </c>
      <c r="J19" s="441" t="s">
        <v>117</v>
      </c>
      <c r="K19" s="442">
        <v>277.5</v>
      </c>
      <c r="L19" s="441" t="s">
        <v>146</v>
      </c>
      <c r="M19" s="441" t="s">
        <v>118</v>
      </c>
      <c r="N19" s="441" t="s">
        <v>173</v>
      </c>
      <c r="O19" s="441" t="s">
        <v>174</v>
      </c>
      <c r="P19" s="452">
        <v>44543</v>
      </c>
      <c r="Q19" s="452">
        <v>44544</v>
      </c>
      <c r="R19" s="441" t="s">
        <v>81</v>
      </c>
    </row>
    <row r="20" spans="1:18" ht="15.75">
      <c r="A20" t="str">
        <f t="shared" si="0"/>
        <v>PIPE</v>
      </c>
      <c r="B20" s="441" t="s">
        <v>76</v>
      </c>
      <c r="C20" s="441" t="s">
        <v>77</v>
      </c>
      <c r="D20" s="441" t="s">
        <v>167</v>
      </c>
      <c r="E20" s="441" t="s">
        <v>120</v>
      </c>
      <c r="F20" s="441" t="s">
        <v>82</v>
      </c>
      <c r="G20" s="441" t="s">
        <v>78</v>
      </c>
      <c r="H20" s="441" t="s">
        <v>79</v>
      </c>
      <c r="I20" s="441" t="s">
        <v>80</v>
      </c>
      <c r="J20" s="441" t="s">
        <v>117</v>
      </c>
      <c r="K20" s="442">
        <v>160</v>
      </c>
      <c r="L20" s="441" t="s">
        <v>146</v>
      </c>
      <c r="M20" s="441" t="s">
        <v>118</v>
      </c>
      <c r="N20" s="441" t="s">
        <v>175</v>
      </c>
      <c r="O20" s="441" t="s">
        <v>176</v>
      </c>
      <c r="P20" s="452">
        <v>44543</v>
      </c>
      <c r="Q20" s="452">
        <v>44544</v>
      </c>
      <c r="R20" s="441" t="s">
        <v>81</v>
      </c>
    </row>
    <row r="21" spans="1:18" ht="15.75">
      <c r="A21" t="str">
        <f t="shared" si="0"/>
        <v>PIPE</v>
      </c>
      <c r="B21" s="441" t="s">
        <v>76</v>
      </c>
      <c r="C21" s="441" t="s">
        <v>77</v>
      </c>
      <c r="D21" s="441" t="s">
        <v>167</v>
      </c>
      <c r="E21" s="441" t="s">
        <v>120</v>
      </c>
      <c r="F21" s="441" t="s">
        <v>82</v>
      </c>
      <c r="G21" s="441" t="s">
        <v>78</v>
      </c>
      <c r="H21" s="441" t="s">
        <v>79</v>
      </c>
      <c r="I21" s="441" t="s">
        <v>80</v>
      </c>
      <c r="J21" s="441" t="s">
        <v>117</v>
      </c>
      <c r="K21" s="442">
        <v>160</v>
      </c>
      <c r="L21" s="441" t="s">
        <v>146</v>
      </c>
      <c r="M21" s="441" t="s">
        <v>118</v>
      </c>
      <c r="N21" s="441" t="s">
        <v>177</v>
      </c>
      <c r="O21" s="441" t="s">
        <v>178</v>
      </c>
      <c r="P21" s="452">
        <v>44543</v>
      </c>
      <c r="Q21" s="452">
        <v>44544</v>
      </c>
      <c r="R21" s="441" t="s">
        <v>81</v>
      </c>
    </row>
    <row r="22" spans="1:18" ht="15.75">
      <c r="A22" t="str">
        <f t="shared" si="0"/>
        <v>PIPE</v>
      </c>
      <c r="B22" s="441" t="s">
        <v>76</v>
      </c>
      <c r="C22" s="441" t="s">
        <v>77</v>
      </c>
      <c r="D22" s="441" t="s">
        <v>167</v>
      </c>
      <c r="E22" s="441" t="s">
        <v>120</v>
      </c>
      <c r="F22" s="441" t="s">
        <v>82</v>
      </c>
      <c r="G22" s="441" t="s">
        <v>78</v>
      </c>
      <c r="H22" s="441" t="s">
        <v>79</v>
      </c>
      <c r="I22" s="441" t="s">
        <v>80</v>
      </c>
      <c r="J22" s="441" t="s">
        <v>117</v>
      </c>
      <c r="K22" s="442">
        <v>160</v>
      </c>
      <c r="L22" s="441" t="s">
        <v>146</v>
      </c>
      <c r="M22" s="441" t="s">
        <v>118</v>
      </c>
      <c r="N22" s="441" t="s">
        <v>179</v>
      </c>
      <c r="O22" s="441" t="s">
        <v>180</v>
      </c>
      <c r="P22" s="452">
        <v>44543</v>
      </c>
      <c r="Q22" s="452">
        <v>44544</v>
      </c>
      <c r="R22" s="441" t="s">
        <v>81</v>
      </c>
    </row>
    <row r="23" spans="1:18" ht="15.75">
      <c r="A23" t="str">
        <f t="shared" si="0"/>
        <v>PIPE</v>
      </c>
      <c r="B23" s="441" t="s">
        <v>76</v>
      </c>
      <c r="C23" s="441" t="s">
        <v>77</v>
      </c>
      <c r="D23" s="441" t="s">
        <v>167</v>
      </c>
      <c r="E23" s="441" t="s">
        <v>120</v>
      </c>
      <c r="F23" s="441" t="s">
        <v>82</v>
      </c>
      <c r="G23" s="441" t="s">
        <v>78</v>
      </c>
      <c r="H23" s="441" t="s">
        <v>79</v>
      </c>
      <c r="I23" s="441" t="s">
        <v>80</v>
      </c>
      <c r="J23" s="441" t="s">
        <v>117</v>
      </c>
      <c r="K23" s="442">
        <v>160</v>
      </c>
      <c r="L23" s="441" t="s">
        <v>146</v>
      </c>
      <c r="M23" s="441" t="s">
        <v>118</v>
      </c>
      <c r="N23" s="441" t="s">
        <v>181</v>
      </c>
      <c r="O23" s="441" t="s">
        <v>182</v>
      </c>
      <c r="P23" s="452">
        <v>44543</v>
      </c>
      <c r="Q23" s="452">
        <v>44544</v>
      </c>
      <c r="R23" s="441" t="s">
        <v>81</v>
      </c>
    </row>
    <row r="24" spans="1:18" ht="15.75">
      <c r="A24" t="str">
        <f t="shared" si="0"/>
        <v>PIPE</v>
      </c>
      <c r="B24" s="441" t="s">
        <v>76</v>
      </c>
      <c r="C24" s="441" t="s">
        <v>77</v>
      </c>
      <c r="D24" s="441" t="s">
        <v>167</v>
      </c>
      <c r="E24" s="441" t="s">
        <v>120</v>
      </c>
      <c r="F24" s="441" t="s">
        <v>82</v>
      </c>
      <c r="G24" s="441" t="s">
        <v>78</v>
      </c>
      <c r="H24" s="441" t="s">
        <v>79</v>
      </c>
      <c r="I24" s="441" t="s">
        <v>80</v>
      </c>
      <c r="J24" s="441" t="s">
        <v>117</v>
      </c>
      <c r="K24" s="442">
        <v>160</v>
      </c>
      <c r="L24" s="441" t="s">
        <v>146</v>
      </c>
      <c r="M24" s="441" t="s">
        <v>118</v>
      </c>
      <c r="N24" s="441" t="s">
        <v>183</v>
      </c>
      <c r="O24" s="441" t="s">
        <v>184</v>
      </c>
      <c r="P24" s="452">
        <v>44543</v>
      </c>
      <c r="Q24" s="452">
        <v>44544</v>
      </c>
      <c r="R24" s="441" t="s">
        <v>81</v>
      </c>
    </row>
    <row r="25" spans="1:18" ht="15.75">
      <c r="A25" t="str">
        <f t="shared" si="0"/>
        <v>PIPE</v>
      </c>
      <c r="B25" s="441" t="s">
        <v>76</v>
      </c>
      <c r="C25" s="441" t="s">
        <v>77</v>
      </c>
      <c r="D25" s="441" t="s">
        <v>167</v>
      </c>
      <c r="E25" s="441" t="s">
        <v>120</v>
      </c>
      <c r="F25" s="441" t="s">
        <v>82</v>
      </c>
      <c r="G25" s="441" t="s">
        <v>78</v>
      </c>
      <c r="H25" s="441" t="s">
        <v>79</v>
      </c>
      <c r="I25" s="441" t="s">
        <v>80</v>
      </c>
      <c r="J25" s="441" t="s">
        <v>117</v>
      </c>
      <c r="K25" s="442">
        <v>75</v>
      </c>
      <c r="L25" s="441" t="s">
        <v>146</v>
      </c>
      <c r="M25" s="441" t="s">
        <v>118</v>
      </c>
      <c r="N25" s="441" t="s">
        <v>185</v>
      </c>
      <c r="O25" s="441" t="s">
        <v>186</v>
      </c>
      <c r="P25" s="452">
        <v>44543</v>
      </c>
      <c r="Q25" s="452">
        <v>44544</v>
      </c>
      <c r="R25" s="441" t="s">
        <v>81</v>
      </c>
    </row>
    <row r="26" spans="1:18" ht="15.75">
      <c r="A26" t="str">
        <f t="shared" si="0"/>
        <v>PIPE</v>
      </c>
      <c r="B26" s="441" t="s">
        <v>76</v>
      </c>
      <c r="C26" s="441" t="s">
        <v>77</v>
      </c>
      <c r="D26" s="441" t="s">
        <v>167</v>
      </c>
      <c r="E26" s="441" t="s">
        <v>120</v>
      </c>
      <c r="F26" s="441" t="s">
        <v>82</v>
      </c>
      <c r="G26" s="441" t="s">
        <v>78</v>
      </c>
      <c r="H26" s="441" t="s">
        <v>79</v>
      </c>
      <c r="I26" s="441" t="s">
        <v>80</v>
      </c>
      <c r="J26" s="441" t="s">
        <v>117</v>
      </c>
      <c r="K26" s="442">
        <v>75</v>
      </c>
      <c r="L26" s="441" t="s">
        <v>146</v>
      </c>
      <c r="M26" s="441" t="s">
        <v>118</v>
      </c>
      <c r="N26" s="441" t="s">
        <v>187</v>
      </c>
      <c r="O26" s="441" t="s">
        <v>188</v>
      </c>
      <c r="P26" s="452">
        <v>44543</v>
      </c>
      <c r="Q26" s="452">
        <v>44544</v>
      </c>
      <c r="R26" s="441" t="s">
        <v>81</v>
      </c>
    </row>
    <row r="27" spans="1:18" ht="15.75">
      <c r="A27" t="str">
        <f t="shared" si="0"/>
        <v>PIPE</v>
      </c>
      <c r="B27" s="441" t="s">
        <v>76</v>
      </c>
      <c r="C27" s="441" t="s">
        <v>77</v>
      </c>
      <c r="D27" s="441" t="s">
        <v>167</v>
      </c>
      <c r="E27" s="441" t="s">
        <v>120</v>
      </c>
      <c r="F27" s="441" t="s">
        <v>82</v>
      </c>
      <c r="G27" s="441" t="s">
        <v>78</v>
      </c>
      <c r="H27" s="441" t="s">
        <v>79</v>
      </c>
      <c r="I27" s="441" t="s">
        <v>80</v>
      </c>
      <c r="J27" s="441" t="s">
        <v>117</v>
      </c>
      <c r="K27" s="442">
        <v>150</v>
      </c>
      <c r="L27" s="441" t="s">
        <v>146</v>
      </c>
      <c r="M27" s="441" t="s">
        <v>118</v>
      </c>
      <c r="N27" s="441" t="s">
        <v>189</v>
      </c>
      <c r="O27" s="441" t="s">
        <v>190</v>
      </c>
      <c r="P27" s="452">
        <v>44543</v>
      </c>
      <c r="Q27" s="452">
        <v>44544</v>
      </c>
      <c r="R27" s="441" t="s">
        <v>81</v>
      </c>
    </row>
    <row r="28" spans="1:18" ht="15.75">
      <c r="A28" t="str">
        <f t="shared" si="0"/>
        <v>PIPE</v>
      </c>
      <c r="B28" s="441" t="s">
        <v>76</v>
      </c>
      <c r="C28" s="441" t="s">
        <v>77</v>
      </c>
      <c r="D28" s="441" t="s">
        <v>167</v>
      </c>
      <c r="E28" s="441" t="s">
        <v>120</v>
      </c>
      <c r="F28" s="441" t="s">
        <v>82</v>
      </c>
      <c r="G28" s="441" t="s">
        <v>78</v>
      </c>
      <c r="H28" s="441" t="s">
        <v>79</v>
      </c>
      <c r="I28" s="441" t="s">
        <v>80</v>
      </c>
      <c r="J28" s="441" t="s">
        <v>117</v>
      </c>
      <c r="K28" s="442">
        <v>20</v>
      </c>
      <c r="L28" s="441" t="s">
        <v>146</v>
      </c>
      <c r="M28" s="441" t="s">
        <v>118</v>
      </c>
      <c r="N28" s="441" t="s">
        <v>191</v>
      </c>
      <c r="O28" s="441" t="s">
        <v>192</v>
      </c>
      <c r="P28" s="452">
        <v>44543</v>
      </c>
      <c r="Q28" s="452">
        <v>44544</v>
      </c>
      <c r="R28" s="441" t="s">
        <v>81</v>
      </c>
    </row>
    <row r="29" spans="1:18" ht="15.75">
      <c r="A29" t="str">
        <f t="shared" si="0"/>
        <v>PIPE</v>
      </c>
      <c r="B29" s="441" t="s">
        <v>76</v>
      </c>
      <c r="C29" s="441" t="s">
        <v>77</v>
      </c>
      <c r="D29" s="441" t="s">
        <v>167</v>
      </c>
      <c r="E29" s="441" t="s">
        <v>120</v>
      </c>
      <c r="F29" s="441" t="s">
        <v>82</v>
      </c>
      <c r="G29" s="441" t="s">
        <v>78</v>
      </c>
      <c r="H29" s="441" t="s">
        <v>79</v>
      </c>
      <c r="I29" s="441" t="s">
        <v>80</v>
      </c>
      <c r="J29" s="441" t="s">
        <v>117</v>
      </c>
      <c r="K29" s="442">
        <v>205</v>
      </c>
      <c r="L29" s="441" t="s">
        <v>146</v>
      </c>
      <c r="M29" s="441" t="s">
        <v>118</v>
      </c>
      <c r="N29" s="441" t="s">
        <v>193</v>
      </c>
      <c r="O29" s="441" t="s">
        <v>194</v>
      </c>
      <c r="P29" s="452">
        <v>44543</v>
      </c>
      <c r="Q29" s="452">
        <v>44544</v>
      </c>
      <c r="R29" s="441" t="s">
        <v>81</v>
      </c>
    </row>
    <row r="30" spans="1:18" ht="15.75">
      <c r="A30" t="str">
        <f t="shared" si="0"/>
        <v>PIPE</v>
      </c>
      <c r="B30" s="441" t="s">
        <v>76</v>
      </c>
      <c r="C30" s="441" t="s">
        <v>77</v>
      </c>
      <c r="D30" s="441" t="s">
        <v>167</v>
      </c>
      <c r="E30" s="441" t="s">
        <v>120</v>
      </c>
      <c r="F30" s="441" t="s">
        <v>82</v>
      </c>
      <c r="G30" s="441" t="s">
        <v>78</v>
      </c>
      <c r="H30" s="441" t="s">
        <v>79</v>
      </c>
      <c r="I30" s="441" t="s">
        <v>80</v>
      </c>
      <c r="J30" s="441" t="s">
        <v>117</v>
      </c>
      <c r="K30" s="442">
        <v>95</v>
      </c>
      <c r="L30" s="441" t="s">
        <v>146</v>
      </c>
      <c r="M30" s="441" t="s">
        <v>118</v>
      </c>
      <c r="N30" s="441" t="s">
        <v>195</v>
      </c>
      <c r="O30" s="441" t="s">
        <v>196</v>
      </c>
      <c r="P30" s="452">
        <v>44543</v>
      </c>
      <c r="Q30" s="452">
        <v>44544</v>
      </c>
      <c r="R30" s="441" t="s">
        <v>81</v>
      </c>
    </row>
    <row r="31" spans="1:18" ht="15.75">
      <c r="A31" t="str">
        <f t="shared" si="0"/>
        <v>PIPE</v>
      </c>
      <c r="B31" s="441" t="s">
        <v>76</v>
      </c>
      <c r="C31" s="441" t="s">
        <v>77</v>
      </c>
      <c r="D31" s="441" t="s">
        <v>167</v>
      </c>
      <c r="E31" s="441" t="s">
        <v>120</v>
      </c>
      <c r="F31" s="441" t="s">
        <v>82</v>
      </c>
      <c r="G31" s="441" t="s">
        <v>78</v>
      </c>
      <c r="H31" s="441" t="s">
        <v>79</v>
      </c>
      <c r="I31" s="441" t="s">
        <v>80</v>
      </c>
      <c r="J31" s="441" t="s">
        <v>117</v>
      </c>
      <c r="K31" s="442">
        <v>180</v>
      </c>
      <c r="L31" s="441" t="s">
        <v>146</v>
      </c>
      <c r="M31" s="441" t="s">
        <v>118</v>
      </c>
      <c r="N31" s="441" t="s">
        <v>197</v>
      </c>
      <c r="O31" s="441" t="s">
        <v>198</v>
      </c>
      <c r="P31" s="452">
        <v>44543</v>
      </c>
      <c r="Q31" s="452">
        <v>44544</v>
      </c>
      <c r="R31" s="441" t="s">
        <v>81</v>
      </c>
    </row>
    <row r="32" spans="1:18" ht="15.75">
      <c r="A32" t="str">
        <f t="shared" si="0"/>
        <v>CONV</v>
      </c>
      <c r="B32" s="441" t="s">
        <v>76</v>
      </c>
      <c r="C32" s="441" t="s">
        <v>77</v>
      </c>
      <c r="D32" s="441" t="s">
        <v>199</v>
      </c>
      <c r="E32" s="441" t="s">
        <v>46</v>
      </c>
      <c r="F32" s="441" t="s">
        <v>83</v>
      </c>
      <c r="G32" s="441" t="s">
        <v>78</v>
      </c>
      <c r="H32" s="441" t="s">
        <v>79</v>
      </c>
      <c r="I32" s="441" t="s">
        <v>80</v>
      </c>
      <c r="J32" s="441" t="s">
        <v>52</v>
      </c>
      <c r="K32" s="442">
        <v>350</v>
      </c>
      <c r="L32" s="441" t="s">
        <v>200</v>
      </c>
      <c r="M32" s="441" t="s">
        <v>124</v>
      </c>
      <c r="N32" s="441" t="s">
        <v>201</v>
      </c>
      <c r="O32" s="441" t="s">
        <v>202</v>
      </c>
      <c r="P32" s="452">
        <v>44558</v>
      </c>
      <c r="Q32" s="452">
        <v>44558</v>
      </c>
      <c r="R32" s="441" t="s">
        <v>81</v>
      </c>
    </row>
    <row r="33" spans="1:18" ht="15.75">
      <c r="A33" t="str">
        <f t="shared" si="0"/>
        <v>CONV</v>
      </c>
      <c r="B33" s="441" t="s">
        <v>76</v>
      </c>
      <c r="C33" s="441" t="s">
        <v>77</v>
      </c>
      <c r="D33" s="441" t="s">
        <v>199</v>
      </c>
      <c r="E33" s="441" t="s">
        <v>46</v>
      </c>
      <c r="F33" s="441" t="s">
        <v>83</v>
      </c>
      <c r="G33" s="441" t="s">
        <v>78</v>
      </c>
      <c r="H33" s="441" t="s">
        <v>79</v>
      </c>
      <c r="I33" s="441" t="s">
        <v>80</v>
      </c>
      <c r="J33" s="441" t="s">
        <v>52</v>
      </c>
      <c r="K33" s="442">
        <v>350</v>
      </c>
      <c r="L33" s="441" t="s">
        <v>203</v>
      </c>
      <c r="M33" s="441" t="s">
        <v>124</v>
      </c>
      <c r="N33" s="441" t="s">
        <v>204</v>
      </c>
      <c r="O33" s="441" t="s">
        <v>205</v>
      </c>
      <c r="P33" s="452">
        <v>44558</v>
      </c>
      <c r="Q33" s="452">
        <v>44558</v>
      </c>
      <c r="R33" s="441" t="s">
        <v>81</v>
      </c>
    </row>
    <row r="34" spans="1:18" ht="15.75">
      <c r="A34" t="str">
        <f t="shared" si="0"/>
        <v>CONV</v>
      </c>
      <c r="B34" s="441" t="s">
        <v>76</v>
      </c>
      <c r="C34" s="441" t="s">
        <v>77</v>
      </c>
      <c r="D34" s="441" t="s">
        <v>199</v>
      </c>
      <c r="E34" s="441" t="s">
        <v>46</v>
      </c>
      <c r="F34" s="441" t="s">
        <v>83</v>
      </c>
      <c r="G34" s="441" t="s">
        <v>78</v>
      </c>
      <c r="H34" s="441" t="s">
        <v>79</v>
      </c>
      <c r="I34" s="441" t="s">
        <v>80</v>
      </c>
      <c r="J34" s="441" t="s">
        <v>51</v>
      </c>
      <c r="K34" s="442">
        <v>350</v>
      </c>
      <c r="L34" s="441" t="s">
        <v>203</v>
      </c>
      <c r="M34" s="441" t="s">
        <v>124</v>
      </c>
      <c r="N34" s="441" t="s">
        <v>204</v>
      </c>
      <c r="O34" s="441" t="s">
        <v>205</v>
      </c>
      <c r="P34" s="452">
        <v>44558</v>
      </c>
      <c r="Q34" s="452">
        <v>44558</v>
      </c>
      <c r="R34" s="441" t="s">
        <v>81</v>
      </c>
    </row>
    <row r="35" spans="1:18" ht="15.75">
      <c r="A35" t="str">
        <f t="shared" si="0"/>
        <v>CONV</v>
      </c>
      <c r="B35" s="441" t="s">
        <v>59</v>
      </c>
      <c r="C35" s="441" t="s">
        <v>77</v>
      </c>
      <c r="D35" s="441" t="s">
        <v>206</v>
      </c>
      <c r="E35" s="441" t="s">
        <v>44</v>
      </c>
      <c r="F35" s="441" t="s">
        <v>104</v>
      </c>
      <c r="G35" s="441" t="s">
        <v>78</v>
      </c>
      <c r="H35" s="441" t="s">
        <v>79</v>
      </c>
      <c r="I35" s="441" t="s">
        <v>80</v>
      </c>
      <c r="J35" s="441" t="s">
        <v>51</v>
      </c>
      <c r="K35" s="442">
        <v>2100</v>
      </c>
      <c r="L35" s="441" t="s">
        <v>130</v>
      </c>
      <c r="M35" s="441" t="s">
        <v>149</v>
      </c>
      <c r="N35" s="441" t="s">
        <v>149</v>
      </c>
      <c r="O35" s="441" t="s">
        <v>206</v>
      </c>
      <c r="P35" s="452">
        <v>44561</v>
      </c>
      <c r="Q35" s="452">
        <v>44567</v>
      </c>
      <c r="R35" s="441" t="s">
        <v>81</v>
      </c>
    </row>
    <row r="36" spans="1:18" ht="15.75">
      <c r="A36" t="str">
        <f t="shared" si="0"/>
        <v>PIPE</v>
      </c>
      <c r="B36" s="441" t="s">
        <v>59</v>
      </c>
      <c r="C36" s="441" t="s">
        <v>77</v>
      </c>
      <c r="D36" s="441" t="s">
        <v>206</v>
      </c>
      <c r="E36" s="441" t="s">
        <v>46</v>
      </c>
      <c r="F36" s="441" t="s">
        <v>83</v>
      </c>
      <c r="G36" s="441" t="s">
        <v>78</v>
      </c>
      <c r="H36" s="441" t="s">
        <v>79</v>
      </c>
      <c r="I36" s="441" t="s">
        <v>80</v>
      </c>
      <c r="J36" s="441" t="s">
        <v>119</v>
      </c>
      <c r="K36" s="442">
        <v>870.84</v>
      </c>
      <c r="L36" s="441" t="s">
        <v>131</v>
      </c>
      <c r="M36" s="441" t="s">
        <v>149</v>
      </c>
      <c r="N36" s="441" t="s">
        <v>149</v>
      </c>
      <c r="O36" s="441" t="s">
        <v>206</v>
      </c>
      <c r="P36" s="452">
        <v>44561</v>
      </c>
      <c r="Q36" s="452">
        <v>44567</v>
      </c>
      <c r="R36" s="441" t="s">
        <v>81</v>
      </c>
    </row>
    <row r="37" spans="1:18" ht="15.75">
      <c r="A37" t="str">
        <f t="shared" si="0"/>
        <v>CONV</v>
      </c>
      <c r="B37" s="441" t="s">
        <v>59</v>
      </c>
      <c r="C37" s="441" t="s">
        <v>77</v>
      </c>
      <c r="D37" s="441" t="s">
        <v>206</v>
      </c>
      <c r="E37" s="441" t="s">
        <v>46</v>
      </c>
      <c r="F37" s="441" t="s">
        <v>83</v>
      </c>
      <c r="G37" s="441" t="s">
        <v>78</v>
      </c>
      <c r="H37" s="441" t="s">
        <v>79</v>
      </c>
      <c r="I37" s="441" t="s">
        <v>80</v>
      </c>
      <c r="J37" s="441" t="s">
        <v>51</v>
      </c>
      <c r="K37" s="442">
        <v>1050</v>
      </c>
      <c r="L37" s="441" t="s">
        <v>140</v>
      </c>
      <c r="M37" s="441" t="s">
        <v>149</v>
      </c>
      <c r="N37" s="441" t="s">
        <v>149</v>
      </c>
      <c r="O37" s="441" t="s">
        <v>206</v>
      </c>
      <c r="P37" s="452">
        <v>44561</v>
      </c>
      <c r="Q37" s="452">
        <v>44567</v>
      </c>
      <c r="R37" s="441" t="s">
        <v>81</v>
      </c>
    </row>
    <row r="38" spans="1:18" ht="15.75">
      <c r="A38" t="str">
        <f t="shared" si="0"/>
        <v/>
      </c>
      <c r="B38" s="487"/>
      <c r="C38" s="487"/>
      <c r="D38" s="487"/>
      <c r="E38" s="487"/>
      <c r="F38" s="487"/>
      <c r="G38" s="487"/>
      <c r="H38" s="487"/>
      <c r="I38" s="487"/>
      <c r="J38" s="487"/>
      <c r="K38" s="488"/>
      <c r="L38" s="487"/>
      <c r="M38" s="487"/>
      <c r="N38" s="487"/>
      <c r="O38" s="487"/>
      <c r="P38" s="489"/>
      <c r="Q38" s="489"/>
      <c r="R38" s="487"/>
    </row>
    <row r="39" spans="1:18">
      <c r="A39" s="76" t="s">
        <v>91</v>
      </c>
      <c r="B39" s="76"/>
      <c r="K39" s="156">
        <f>SUM(K2:K38)</f>
        <v>8272.84</v>
      </c>
    </row>
    <row r="40" spans="1:18">
      <c r="A40" s="76" t="s">
        <v>110</v>
      </c>
      <c r="B40" s="76"/>
    </row>
    <row r="42" spans="1:18">
      <c r="A42" s="70" t="s">
        <v>58</v>
      </c>
      <c r="C42" s="429">
        <f>Reconciliation!C6</f>
        <v>44561</v>
      </c>
    </row>
    <row r="43" spans="1:18">
      <c r="A43" s="437"/>
      <c r="F43" t="s">
        <v>132</v>
      </c>
    </row>
    <row r="44" spans="1:18">
      <c r="A44" s="437"/>
      <c r="B44" s="465" t="s">
        <v>85</v>
      </c>
      <c r="C44" s="466"/>
      <c r="D44" s="467"/>
      <c r="F44" t="s">
        <v>133</v>
      </c>
      <c r="G44" t="s">
        <v>138</v>
      </c>
    </row>
    <row r="45" spans="1:18">
      <c r="A45" s="437"/>
      <c r="B45" s="465" t="s">
        <v>115</v>
      </c>
      <c r="C45" s="465" t="s">
        <v>60</v>
      </c>
      <c r="D45" s="467" t="s">
        <v>37</v>
      </c>
      <c r="F45" s="460" t="s">
        <v>134</v>
      </c>
      <c r="G45" s="460" t="s">
        <v>137</v>
      </c>
    </row>
    <row r="46" spans="1:18">
      <c r="A46" s="437"/>
      <c r="B46" s="468" t="s">
        <v>116</v>
      </c>
      <c r="C46" s="468" t="s">
        <v>59</v>
      </c>
      <c r="D46" s="469">
        <v>3150</v>
      </c>
      <c r="F46" s="262" t="s">
        <v>135</v>
      </c>
      <c r="G46" s="461">
        <v>1773</v>
      </c>
    </row>
    <row r="47" spans="1:18">
      <c r="B47" s="490"/>
      <c r="C47" s="470" t="s">
        <v>76</v>
      </c>
      <c r="D47" s="471">
        <v>1750</v>
      </c>
      <c r="F47" s="262" t="s">
        <v>136</v>
      </c>
      <c r="G47" s="461">
        <v>1860</v>
      </c>
    </row>
    <row r="48" spans="1:18">
      <c r="B48" s="468" t="s">
        <v>125</v>
      </c>
      <c r="C48" s="466"/>
      <c r="D48" s="472">
        <v>4900</v>
      </c>
      <c r="F48" s="262"/>
    </row>
    <row r="49" spans="2:18">
      <c r="B49" s="468" t="s">
        <v>121</v>
      </c>
      <c r="C49" s="468" t="s">
        <v>49</v>
      </c>
      <c r="D49" s="469">
        <v>-1962.5</v>
      </c>
      <c r="F49" s="262"/>
    </row>
    <row r="50" spans="2:18">
      <c r="B50" s="490"/>
      <c r="C50" s="470" t="s">
        <v>59</v>
      </c>
      <c r="D50" s="471">
        <v>870.84</v>
      </c>
      <c r="F50" s="262"/>
    </row>
    <row r="51" spans="2:18" s="437" customFormat="1">
      <c r="B51" s="490"/>
      <c r="C51" s="470" t="s">
        <v>76</v>
      </c>
      <c r="D51" s="471">
        <v>4464.5</v>
      </c>
      <c r="E51"/>
      <c r="F51" s="262"/>
      <c r="G51"/>
      <c r="H51"/>
      <c r="I51"/>
      <c r="J51"/>
      <c r="K51"/>
      <c r="L51"/>
      <c r="M51"/>
      <c r="N51"/>
      <c r="O51"/>
      <c r="P51"/>
      <c r="Q51"/>
      <c r="R51"/>
    </row>
    <row r="52" spans="2:18" s="437" customFormat="1">
      <c r="B52" s="468" t="s">
        <v>126</v>
      </c>
      <c r="C52" s="466"/>
      <c r="D52" s="472">
        <v>3372.84</v>
      </c>
      <c r="E52"/>
      <c r="F52" s="262"/>
      <c r="G52"/>
      <c r="H52"/>
      <c r="I52"/>
      <c r="J52"/>
      <c r="K52"/>
      <c r="L52"/>
      <c r="M52"/>
      <c r="N52"/>
      <c r="O52"/>
      <c r="P52"/>
      <c r="Q52"/>
      <c r="R52"/>
    </row>
    <row r="53" spans="2:18" s="437" customFormat="1">
      <c r="B53" s="473" t="s">
        <v>84</v>
      </c>
      <c r="C53" s="491"/>
      <c r="D53" s="474">
        <v>8272.84</v>
      </c>
      <c r="E53"/>
      <c r="F53" s="262"/>
      <c r="G53"/>
      <c r="H53"/>
      <c r="I53"/>
      <c r="J53"/>
      <c r="K53"/>
      <c r="L53"/>
      <c r="M53"/>
      <c r="N53"/>
      <c r="O53"/>
      <c r="P53"/>
      <c r="Q53"/>
      <c r="R53"/>
    </row>
    <row r="54" spans="2:18" s="437" customFormat="1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</row>
    <row r="55" spans="2:18" s="437" customFormat="1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2:18" s="437" customFormat="1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2:18" s="437" customFormat="1">
      <c r="B57"/>
      <c r="C57"/>
      <c r="D57" s="462">
        <f>+GETPIVOTDATA("Amount",$B$44)-K39</f>
        <v>0</v>
      </c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2:18" s="437" customFormat="1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2:18" s="437" customFormat="1"/>
    <row r="60" spans="2:18" s="437" customFormat="1"/>
    <row r="61" spans="2:18" s="437" customFormat="1"/>
    <row r="62" spans="2:18" s="437" customFormat="1"/>
    <row r="63" spans="2:18" s="437" customFormat="1"/>
    <row r="64" spans="2:18" s="437" customFormat="1"/>
    <row r="65" s="437" customFormat="1"/>
    <row r="66" s="437" customFormat="1"/>
    <row r="67" s="437" customFormat="1"/>
    <row r="68" s="437" customFormat="1"/>
    <row r="69" s="437" customFormat="1"/>
    <row r="70" s="437" customFormat="1"/>
    <row r="71" s="437" customFormat="1"/>
    <row r="72" s="437" customFormat="1"/>
    <row r="73" s="437" customFormat="1"/>
    <row r="74" s="437" customFormat="1"/>
    <row r="75" s="437" customFormat="1"/>
    <row r="76" s="437" customFormat="1"/>
    <row r="77" s="437" customFormat="1"/>
    <row r="78" s="437" customFormat="1"/>
    <row r="79" s="437" customFormat="1"/>
    <row r="80" s="437" customFormat="1"/>
    <row r="81" spans="4:5" s="437" customFormat="1"/>
    <row r="82" spans="4:5" s="437" customFormat="1"/>
    <row r="83" spans="4:5" s="437" customFormat="1"/>
    <row r="84" spans="4:5" s="437" customFormat="1"/>
    <row r="85" spans="4:5" s="437" customFormat="1"/>
    <row r="86" spans="4:5" s="437" customFormat="1">
      <c r="D86" s="440" t="s">
        <v>127</v>
      </c>
      <c r="E86" s="445">
        <f>2100+3670.84+2502</f>
        <v>8272.84</v>
      </c>
    </row>
    <row r="87" spans="4:5" s="437" customFormat="1">
      <c r="D87" s="440" t="s">
        <v>128</v>
      </c>
      <c r="E87" s="439">
        <f>GETPIVOTDATA("Amount",$B$44)-E86</f>
        <v>0</v>
      </c>
    </row>
    <row r="88" spans="4:5" s="437" customFormat="1"/>
    <row r="89" spans="4:5" s="437" customFormat="1"/>
    <row r="90" spans="4:5" s="437" customFormat="1"/>
    <row r="91" spans="4:5" s="437" customFormat="1"/>
    <row r="92" spans="4:5" s="437" customFormat="1"/>
    <row r="93" spans="4:5" s="437" customFormat="1"/>
    <row r="94" spans="4:5" s="437" customFormat="1"/>
    <row r="95" spans="4:5" s="437" customFormat="1"/>
    <row r="96" spans="4:5" s="437" customFormat="1"/>
    <row r="97" spans="2:18" s="437" customFormat="1"/>
    <row r="98" spans="2:18" s="437" customFormat="1"/>
    <row r="99" spans="2:18" s="437" customFormat="1"/>
    <row r="100" spans="2:18" s="437" customFormat="1"/>
    <row r="101" spans="2:18">
      <c r="B101" s="437"/>
      <c r="C101" s="437"/>
      <c r="D101" s="437"/>
      <c r="E101" s="437"/>
      <c r="F101" s="437"/>
      <c r="G101" s="437"/>
      <c r="H101" s="437"/>
      <c r="I101" s="437"/>
      <c r="J101" s="437"/>
      <c r="K101" s="437"/>
      <c r="L101" s="437"/>
      <c r="M101" s="437"/>
      <c r="N101" s="437"/>
      <c r="O101" s="437"/>
      <c r="P101" s="437"/>
      <c r="Q101" s="437"/>
      <c r="R101" s="437"/>
    </row>
    <row r="102" spans="2:18"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7"/>
      <c r="N102" s="437"/>
      <c r="O102" s="437"/>
      <c r="P102" s="437"/>
      <c r="Q102" s="437"/>
      <c r="R102" s="437"/>
    </row>
    <row r="103" spans="2:18">
      <c r="B103" s="437"/>
      <c r="C103" s="437"/>
      <c r="D103" s="437"/>
      <c r="E103" s="437"/>
      <c r="F103" s="437"/>
      <c r="G103" s="437"/>
      <c r="H103" s="437"/>
      <c r="I103" s="437"/>
      <c r="J103" s="437"/>
      <c r="K103" s="437"/>
      <c r="L103" s="437"/>
      <c r="M103" s="437"/>
      <c r="N103" s="437"/>
      <c r="O103" s="437"/>
      <c r="P103" s="437"/>
      <c r="Q103" s="437"/>
      <c r="R103" s="437"/>
    </row>
    <row r="104" spans="2:18">
      <c r="B104" s="437"/>
      <c r="C104" s="437"/>
      <c r="D104" s="437"/>
      <c r="E104" s="437"/>
      <c r="F104" s="437"/>
      <c r="G104" s="437"/>
      <c r="H104" s="437"/>
      <c r="I104" s="437"/>
      <c r="J104" s="437"/>
      <c r="K104" s="437"/>
      <c r="L104" s="437"/>
      <c r="M104" s="437"/>
      <c r="N104" s="437"/>
      <c r="O104" s="437"/>
      <c r="P104" s="437"/>
      <c r="Q104" s="437"/>
      <c r="R104" s="437"/>
    </row>
    <row r="105" spans="2:18">
      <c r="B105" s="437"/>
      <c r="C105" s="437"/>
      <c r="D105" s="437"/>
      <c r="E105" s="437"/>
      <c r="F105" s="437"/>
      <c r="G105" s="437"/>
      <c r="H105" s="437"/>
      <c r="I105" s="437"/>
      <c r="J105" s="437"/>
      <c r="K105" s="437"/>
      <c r="L105" s="437"/>
      <c r="M105" s="437"/>
      <c r="N105" s="437"/>
      <c r="O105" s="437"/>
      <c r="P105" s="437"/>
      <c r="Q105" s="437"/>
      <c r="R105" s="437"/>
    </row>
    <row r="106" spans="2:18">
      <c r="B106" s="437"/>
      <c r="C106" s="437"/>
      <c r="D106" s="437"/>
      <c r="E106" s="437"/>
      <c r="F106" s="437"/>
      <c r="G106" s="437"/>
      <c r="H106" s="437"/>
      <c r="I106" s="437"/>
      <c r="J106" s="437"/>
      <c r="K106" s="437"/>
      <c r="L106" s="437"/>
      <c r="M106" s="437"/>
      <c r="N106" s="437"/>
      <c r="O106" s="437"/>
      <c r="P106" s="437"/>
      <c r="Q106" s="437"/>
      <c r="R106" s="437"/>
    </row>
    <row r="107" spans="2:18">
      <c r="B107" s="437"/>
      <c r="C107" s="437"/>
      <c r="D107" s="437"/>
      <c r="E107" s="437"/>
      <c r="F107" s="437"/>
      <c r="G107" s="437"/>
      <c r="H107" s="437"/>
      <c r="I107" s="437"/>
      <c r="J107" s="437"/>
      <c r="K107" s="437"/>
      <c r="L107" s="437"/>
      <c r="M107" s="437"/>
      <c r="N107" s="437"/>
      <c r="O107" s="437"/>
      <c r="P107" s="437"/>
      <c r="Q107" s="437"/>
      <c r="R107" s="437"/>
    </row>
    <row r="108" spans="2:18">
      <c r="B108" s="437"/>
      <c r="C108" s="437"/>
      <c r="D108" s="437"/>
      <c r="E108" s="437"/>
      <c r="F108" s="437"/>
      <c r="G108" s="437"/>
      <c r="H108" s="437"/>
      <c r="I108" s="437"/>
      <c r="J108" s="437"/>
      <c r="K108" s="437"/>
      <c r="L108" s="437"/>
      <c r="M108" s="437"/>
      <c r="N108" s="437"/>
      <c r="O108" s="437"/>
      <c r="P108" s="437"/>
      <c r="Q108" s="437"/>
      <c r="R108" s="437"/>
    </row>
    <row r="109" spans="2:18">
      <c r="B109" s="437"/>
      <c r="C109" s="437"/>
      <c r="D109" s="437"/>
      <c r="E109" s="437"/>
      <c r="F109" s="437"/>
      <c r="G109" s="437"/>
      <c r="H109" s="437"/>
      <c r="I109" s="437"/>
      <c r="J109" s="437"/>
      <c r="K109" s="437"/>
      <c r="L109" s="437"/>
      <c r="M109" s="437"/>
      <c r="N109" s="437"/>
      <c r="O109" s="437"/>
      <c r="P109" s="437"/>
      <c r="Q109" s="437"/>
      <c r="R109" s="437"/>
    </row>
    <row r="110" spans="2:18">
      <c r="B110" s="437"/>
      <c r="C110" s="437"/>
      <c r="D110" s="437"/>
      <c r="E110" s="437"/>
      <c r="F110" s="437"/>
      <c r="G110" s="437"/>
      <c r="H110" s="437"/>
      <c r="I110" s="437"/>
      <c r="J110" s="437"/>
      <c r="K110" s="437"/>
      <c r="L110" s="437"/>
      <c r="M110" s="437"/>
      <c r="N110" s="437"/>
      <c r="O110" s="437"/>
      <c r="P110" s="437"/>
      <c r="Q110" s="437"/>
      <c r="R110" s="437"/>
    </row>
    <row r="111" spans="2:18">
      <c r="B111" s="437"/>
      <c r="C111" s="437"/>
      <c r="D111" s="437"/>
      <c r="E111" s="437"/>
      <c r="F111" s="437"/>
      <c r="G111" s="437"/>
      <c r="H111" s="437"/>
      <c r="I111" s="437"/>
      <c r="J111" s="437"/>
      <c r="K111" s="437"/>
      <c r="L111" s="437"/>
      <c r="M111" s="437"/>
      <c r="N111" s="437"/>
      <c r="O111" s="437"/>
      <c r="P111" s="437"/>
      <c r="Q111" s="437"/>
      <c r="R111" s="437"/>
    </row>
    <row r="112" spans="2:18">
      <c r="B112" s="437"/>
      <c r="C112" s="437"/>
      <c r="D112" s="437"/>
      <c r="E112" s="437"/>
      <c r="F112" s="437"/>
      <c r="G112" s="437"/>
      <c r="H112" s="437"/>
      <c r="I112" s="437"/>
      <c r="J112" s="437"/>
      <c r="K112" s="437"/>
      <c r="L112" s="437"/>
      <c r="M112" s="437"/>
      <c r="N112" s="437"/>
      <c r="O112" s="437"/>
      <c r="P112" s="437"/>
      <c r="Q112" s="437"/>
      <c r="R112" s="437"/>
    </row>
  </sheetData>
  <sheetProtection sheet="1"/>
  <autoFilter ref="A1:A27"/>
  <conditionalFormatting sqref="E87">
    <cfRule type="cellIs" dxfId="28" priority="2" stopIfTrue="1" operator="notEqual">
      <formula>0</formula>
    </cfRule>
  </conditionalFormatting>
  <conditionalFormatting sqref="D57">
    <cfRule type="cellIs" dxfId="27" priority="1" stopIfTrue="1" operator="notEqual">
      <formula>0</formula>
    </cfRule>
  </conditionalFormatting>
  <pageMargins left="0.7" right="0.7" top="0.75" bottom="0.75" header="0.3" footer="0.3"/>
  <pageSetup scale="67" orientation="landscape" r:id="rId2"/>
  <headerFooter>
    <oddFooter>&amp;L&amp;10&amp;Z&amp;F_&amp;A
&amp;D_&amp;T</oddFooter>
  </headerFooter>
  <drawing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defaultRowHeight="15"/>
  <sheetData/>
  <sheetProtection sheet="1" objects="1" scenarios="1"/>
  <pageMargins left="0.7" right="0.7" top="0.75" bottom="0.75" header="0.3" footer="0.3"/>
  <pageSetup scale="97" orientation="portrait" r:id="rId1"/>
  <drawing r:id="rId2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 A C T I V E ! 1 5 6 5 1 9 9 1 . 1 < / d o c u m e n t i d >  
     < s e n d e r i d > K E A B E T < / s e n d e r i d >  
     < s e n d e r e m a i l > B K E A T I N G @ G U N S T E R . C O M < / s e n d e r e m a i l >  
     < l a s t m o d i f i e d > 2 0 2 2 - 0 6 - 2 3 T 0 8 : 1 2 : 0 3 . 0 0 0 0 0 0 0 - 0 4 : 0 0 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Reconciliation</vt:lpstr>
      <vt:lpstr>PIPING FN__ INPUT</vt:lpstr>
      <vt:lpstr>PIPING FN__ AMORT</vt:lpstr>
      <vt:lpstr>CONV FN__ INPUT</vt:lpstr>
      <vt:lpstr>CONV FN__ AMORT</vt:lpstr>
      <vt:lpstr>Data</vt:lpstr>
      <vt:lpstr>Notes</vt:lpstr>
      <vt:lpstr>'CONV FN__ AMORT'!Print_Area</vt:lpstr>
      <vt:lpstr>'CONV FN__ INPUT'!Print_Area</vt:lpstr>
      <vt:lpstr>Data!Print_Area</vt:lpstr>
      <vt:lpstr>'PIPING FN__ AMORT'!Print_Area</vt:lpstr>
      <vt:lpstr>'PIPING FN__ INPUT'!Print_Area</vt:lpstr>
      <vt:lpstr>Reconciliation!Print_Area</vt:lpstr>
      <vt:lpstr>'CONV FN__ AMORT'!Print_Titles</vt:lpstr>
      <vt:lpstr>'PIPING FN__ AMORT'!Print_Titles</vt:lpstr>
    </vt:vector>
  </TitlesOfParts>
  <Company>Micron Electronics,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Welch, Kathy</cp:lastModifiedBy>
  <cp:lastPrinted>2022-01-11T01:19:39Z</cp:lastPrinted>
  <dcterms:created xsi:type="dcterms:W3CDTF">1999-04-30T20:51:34Z</dcterms:created>
  <dcterms:modified xsi:type="dcterms:W3CDTF">2022-06-23T12:12:03Z</dcterms:modified>
</cp:coreProperties>
</file>