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2.xml" ContentType="application/vnd.openxmlformats-officedocument.drawing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Staff's 4th IRRs (Nos. 86-104)/Drafter Workspace/Attachments/IRR 99/"/>
    </mc:Choice>
  </mc:AlternateContent>
  <xr:revisionPtr revIDLastSave="0" documentId="13_ncr:1_{8C0C494A-CCE2-464C-BCD7-C9007349C043}" xr6:coauthVersionLast="47" xr6:coauthVersionMax="47" xr10:uidLastSave="{00000000-0000-0000-0000-000000000000}"/>
  <bookViews>
    <workbookView xWindow="3825" yWindow="885" windowWidth="21600" windowHeight="11385" tabRatio="856" activeTab="7" xr2:uid="{843CAD02-AFDC-4033-80B5-A58E3CE192C6}"/>
  </bookViews>
  <sheets>
    <sheet name="Column 5 Recon" sheetId="2" r:id="rId1"/>
    <sheet name="Column 4 Recon" sheetId="3" r:id="rId2"/>
    <sheet name="Reserve Allocation - Original" sheetId="4" r:id="rId3"/>
    <sheet name="Account Corrections" sheetId="10" r:id="rId4"/>
    <sheet name="Rev Defiency Impact" sheetId="11" r:id="rId5"/>
    <sheet name="Annual Status 2024 Corrected " sheetId="8" r:id="rId6"/>
    <sheet name="Revised Table" sheetId="5" r:id="rId7"/>
    <sheet name="Reserve Allocation - Corrected" sheetId="12" r:id="rId8"/>
    <sheet name="DNU - Staff Table" sheetId="1" r:id="rId9"/>
  </sheets>
  <definedNames>
    <definedName name="\A">#REF!</definedName>
    <definedName name="\B">#REF!</definedName>
    <definedName name="\E">#REF!</definedName>
    <definedName name="\J">#REF!</definedName>
    <definedName name="\P">#REF!</definedName>
    <definedName name="\T">#REF!</definedName>
    <definedName name="___JE11">#REF!</definedName>
    <definedName name="__APR99">#REF!</definedName>
    <definedName name="__AUG99">#REF!</definedName>
    <definedName name="__DEC98">#REF!</definedName>
    <definedName name="__DEC99">#REF!</definedName>
    <definedName name="__FEB99">#REF!</definedName>
    <definedName name="__JAN99">#REF!</definedName>
    <definedName name="__JUL99">#REF!</definedName>
    <definedName name="__JUN99">#REF!</definedName>
    <definedName name="__MAR99">#REF!</definedName>
    <definedName name="__MAY99">#REF!</definedName>
    <definedName name="__NOV98">#REF!</definedName>
    <definedName name="__NOV99">#REF!</definedName>
    <definedName name="__OCT98">#REF!</definedName>
    <definedName name="__OCT99">#REF!</definedName>
    <definedName name="__SEP99">#REF!</definedName>
    <definedName name="_16A_2">#REF!</definedName>
    <definedName name="_APR99">#REF!</definedName>
    <definedName name="_AUG99">#REF!</definedName>
    <definedName name="_DEC98">#REF!</definedName>
    <definedName name="_DEC99">#REF!</definedName>
    <definedName name="_FEB99">#REF!</definedName>
    <definedName name="_xlnm._FilterDatabase" localSheetId="5" hidden="1">'Annual Status 2024 Corrected '!$A$7:$O$47</definedName>
    <definedName name="_JAN99">#REF!</definedName>
    <definedName name="_JE11">#REF!</definedName>
    <definedName name="_JUL99">#REF!</definedName>
    <definedName name="_JUN99">#REF!</definedName>
    <definedName name="_Key1" localSheetId="5" hidden="1">#REF!</definedName>
    <definedName name="_Key1" localSheetId="7" hidden="1">#REF!</definedName>
    <definedName name="_Key1" hidden="1">#REF!</definedName>
    <definedName name="_MAR99">#REF!</definedName>
    <definedName name="_MAY99">#REF!</definedName>
    <definedName name="_NOV98">#REF!</definedName>
    <definedName name="_NOV99">#REF!</definedName>
    <definedName name="_OCT98">#REF!</definedName>
    <definedName name="_OCT99">#REF!</definedName>
    <definedName name="_Order1" hidden="1">255</definedName>
    <definedName name="_SEP99">#REF!</definedName>
    <definedName name="_Sort" localSheetId="5" hidden="1">#REF!</definedName>
    <definedName name="_Sort" localSheetId="7" hidden="1">#REF!</definedName>
    <definedName name="_Sort" hidden="1">#REF!</definedName>
    <definedName name="ACCT_VARIANCE" localSheetId="5">#REF!</definedName>
    <definedName name="ACCT_VARIANCE">#REF!</definedName>
    <definedName name="ACT_JAN18">#REF!</definedName>
    <definedName name="ACT2017_PROJECT_DESCRIPTION">#REF!</definedName>
    <definedName name="ACT2017_TOTAL">#REF!</definedName>
    <definedName name="ACT2017_YEAR">#REF!</definedName>
    <definedName name="adds" localSheetId="5">#REF!</definedName>
    <definedName name="adds">#REF!</definedName>
    <definedName name="ALTJE">#REF!</definedName>
    <definedName name="BASE_UNBLD_REV_">#REF!</definedName>
    <definedName name="Beg_Bal" localSheetId="5">#REF!</definedName>
    <definedName name="Beg_Bal">#REF!</definedName>
    <definedName name="BUD_APR">#REF!</definedName>
    <definedName name="BUD_AUG">#REF!</definedName>
    <definedName name="BUD_DEC">#REF!</definedName>
    <definedName name="BUD_FEB">#REF!</definedName>
    <definedName name="BUD_JAN">#REF!</definedName>
    <definedName name="BUD_JUL">#REF!</definedName>
    <definedName name="BUD_JUN">#REF!</definedName>
    <definedName name="BUD_MAR">#REF!</definedName>
    <definedName name="BUD_MAY">#REF!</definedName>
    <definedName name="BUD_NOV">#REF!</definedName>
    <definedName name="BUD_OCT">#REF!</definedName>
    <definedName name="BUD_PROJECT_DESCRIPTION">#REF!</definedName>
    <definedName name="BUD_SEP">#REF!</definedName>
    <definedName name="BUD_SUMMARY_PROJECT_DESCRIPTION">#REF!</definedName>
    <definedName name="BUD_TOTAL">#REF!</definedName>
    <definedName name="BUD_YEAR">#REF!</definedName>
    <definedName name="BUD2018_APR">#REF!</definedName>
    <definedName name="BUD2018_AUG">#REF!</definedName>
    <definedName name="BUD2018_CM">#REF!</definedName>
    <definedName name="BUD2018_CM_YTD">#REF!</definedName>
    <definedName name="BUD2018_DEC">#REF!</definedName>
    <definedName name="BUD2018_FEB">#REF!</definedName>
    <definedName name="BUD2018_JAN">#REF!</definedName>
    <definedName name="BUD2018_JUL">#REF!</definedName>
    <definedName name="BUD2018_JUN">#REF!</definedName>
    <definedName name="BUD2018_MAR">#REF!</definedName>
    <definedName name="BUD2018_MAY">#REF!</definedName>
    <definedName name="BUD2018_MTD">#REF!</definedName>
    <definedName name="BUD2018_NOV">#REF!</definedName>
    <definedName name="BUD2018_OCT">#REF!</definedName>
    <definedName name="BUD2018_PROJECT_DESCRIPTION">#REF!</definedName>
    <definedName name="BUD2018_QTD">#REF!</definedName>
    <definedName name="BUD2018_SEP">#REF!</definedName>
    <definedName name="BUD2018_SUMMARY_PROJECT_DESCRIPTION">#REF!</definedName>
    <definedName name="BUD2018_TOTAL">#REF!</definedName>
    <definedName name="BUD2018_WO_GROUP">#REF!</definedName>
    <definedName name="BUD2018_YEAR">#REF!</definedName>
    <definedName name="BUD2018_YTD">#REF!</definedName>
    <definedName name="BUD2019_APR">#REF!</definedName>
    <definedName name="BUD2019_AUG">#REF!</definedName>
    <definedName name="BUD2019_CM_YTD">#REF!</definedName>
    <definedName name="BUD2019_DEC">#REF!</definedName>
    <definedName name="BUD2019_FEB">#REF!</definedName>
    <definedName name="BUD2019_FP_GROUP">#REF!</definedName>
    <definedName name="BUD2019_JAN">#REF!</definedName>
    <definedName name="BUD2019_JUL">#REF!</definedName>
    <definedName name="BUD2019_JUN">#REF!</definedName>
    <definedName name="BUD2019_MAR">#REF!</definedName>
    <definedName name="BUD2019_MAY">#REF!</definedName>
    <definedName name="BUD2019_MTD">#REF!</definedName>
    <definedName name="BUD2019_NOV">#REF!</definedName>
    <definedName name="BUD2019_OCT">#REF!</definedName>
    <definedName name="BUD2019_PROJECT_DESCRIPTION">#REF!</definedName>
    <definedName name="BUD2019_QTD">#REF!</definedName>
    <definedName name="BUD2019_SEP">#REF!</definedName>
    <definedName name="BUD2019_SUMMARY_PROJECT_DESCRIPTION">#REF!</definedName>
    <definedName name="BUD2019_TOTAL">#REF!</definedName>
    <definedName name="BUD2019_YEAR">#REF!</definedName>
    <definedName name="BUD2019_YTD">#REF!</definedName>
    <definedName name="cap_sch_page_1">#REF!</definedName>
    <definedName name="cap_sch_page_2">#REF!</definedName>
    <definedName name="cap_sch_page_3">#REF!</definedName>
    <definedName name="CIQWBGuid" hidden="1">"f0842c6b-4f67-4da4-8ab9-05f9b8d91da0"</definedName>
    <definedName name="CM_ACT_ACT">#REF!</definedName>
    <definedName name="CM_ACT_BUD">#REF!</definedName>
    <definedName name="CM_BASE_REV">#REF!</definedName>
    <definedName name="CM_FORECAST">#REF!</definedName>
    <definedName name="CM_GWH_SALES">#REF!</definedName>
    <definedName name="CM_NAME">#REF!</definedName>
    <definedName name="CMACTTBRR">#REF!</definedName>
    <definedName name="CMBUDTBRR">#REF!</definedName>
    <definedName name="CMDETAIL">#REF!</definedName>
    <definedName name="CMOOR">#REF!</definedName>
    <definedName name="CMREVANAL">#REF!</definedName>
    <definedName name="CO._NAME__Lake_Worth_Utility_____MWHs">"MKT_BASED_SALES12"</definedName>
    <definedName name="cover1">#REF!</definedName>
    <definedName name="cover2">#REF!</definedName>
    <definedName name="Cum_Int" localSheetId="5">#REF!</definedName>
    <definedName name="Cum_Int">#REF!</definedName>
    <definedName name="CURRENT_YEAR">#REF!</definedName>
    <definedName name="CYFGSGF">#REF!</definedName>
    <definedName name="Data" localSheetId="5">#REF!</definedName>
    <definedName name="Data">#REF!</definedName>
    <definedName name="dcMillions">1000000</definedName>
    <definedName name="dcMonthsinYear">12</definedName>
    <definedName name="dcThousand">1000</definedName>
    <definedName name="ddd" localSheetId="5">#REF!</definedName>
    <definedName name="ddd">#REF!</definedName>
    <definedName name="ddddddddddd" localSheetId="5">#REF!</definedName>
    <definedName name="ddddddddddd">#REF!</definedName>
    <definedName name="Derivation_of_Energy_Separation_Factors">#REF!</definedName>
    <definedName name="Destino" localSheetId="5">#REF!</definedName>
    <definedName name="Destino">#REF!</definedName>
    <definedName name="DIST" localSheetId="5">#REF!</definedName>
    <definedName name="DIST">#REF!</definedName>
    <definedName name="DISTLIST" localSheetId="5">#REF!</definedName>
    <definedName name="DISTLIST">#REF!</definedName>
    <definedName name="DOWNLOAD">#REF!</definedName>
    <definedName name="ECONOMY">#REF!</definedName>
    <definedName name="ECONPURCHASE">#REF!</definedName>
    <definedName name="End_Bal" localSheetId="5">#REF!</definedName>
    <definedName name="End_Bal">#REF!</definedName>
    <definedName name="EV__LASTREFTIME__" hidden="1">"(GMT-05:00)9/28/2017 1:11:18 PM"</definedName>
    <definedName name="EXAMPLE">#REF!</definedName>
    <definedName name="Extra_Pay" localSheetId="5">#REF!</definedName>
    <definedName name="Extra_Pay">#REF!</definedName>
    <definedName name="failed" localSheetId="5">#REF!</definedName>
    <definedName name="failed">#REF!</definedName>
    <definedName name="FIN_PG_18">#REF!</definedName>
    <definedName name="FIN_PG_18A">#REF!</definedName>
    <definedName name="FIN_PG_18B">#REF!</definedName>
    <definedName name="FIN_PG_20">#REF!</definedName>
    <definedName name="FIN_PG_20_BUDGET_20A">#REF!</definedName>
    <definedName name="FIN_PG_20_BUDGET_20B">#REF!</definedName>
    <definedName name="FIN_PG_20A_CM">#REF!</definedName>
    <definedName name="FIN_PG_20A_CM_05">#REF!</definedName>
    <definedName name="FIN_PG_20A_PY">#REF!</definedName>
    <definedName name="FIN_PG_20B_ACTUAL">#REF!</definedName>
    <definedName name="FIN_PG_20B_BUDGET">#REF!</definedName>
    <definedName name="FIN_PG_20B_CM_05">#REF!</definedName>
    <definedName name="FIN_PG_20B_PY">#REF!</definedName>
    <definedName name="FIN_PG_20B_YTD">#REF!</definedName>
    <definedName name="FIN_PG_20B_YTD_05">#REF!</definedName>
    <definedName name="FM_FOR">#REF!</definedName>
    <definedName name="FM_FORECAST">#REF!</definedName>
    <definedName name="FM_NAME">#REF!</definedName>
    <definedName name="FMPA_JURIS_D">#REF!</definedName>
    <definedName name="FMPA_JURIS_D1">#REF!</definedName>
    <definedName name="FMPA_RESALE">#REF!</definedName>
    <definedName name="FOR0210_FP_GROUP">#REF!</definedName>
    <definedName name="FOR0210_PROJECT_DESCRIPTION">#REF!</definedName>
    <definedName name="FOR0210_TOTAL">#REF!</definedName>
    <definedName name="FOR0210_YEAR">#REF!</definedName>
    <definedName name="FORE_VS_FORE" localSheetId="5">#REF!</definedName>
    <definedName name="FORE_VS_FORE">#REF!</definedName>
    <definedName name="FORECAST_MONTH">#REF!</definedName>
    <definedName name="FORM42_1A">#REF!</definedName>
    <definedName name="FORM42_4A">#REF!</definedName>
    <definedName name="FORM42_5A">#REF!</definedName>
    <definedName name="FORM42_6A">#REF!</definedName>
    <definedName name="FORM42_7A">#REF!</definedName>
    <definedName name="FORM42_8A_P10">#REF!</definedName>
    <definedName name="FORM42_8A_P11">#REF!</definedName>
    <definedName name="FORM42_8A_P6">#REF!</definedName>
    <definedName name="FORM42_8A_P7">#REF!</definedName>
    <definedName name="FORM42_8A_P8">#REF!</definedName>
    <definedName name="FORM42_8A_P9">#REF!</definedName>
    <definedName name="FORM421E">#REF!</definedName>
    <definedName name="FORM421P">#REF!</definedName>
    <definedName name="FORM422P">#REF!</definedName>
    <definedName name="FORM423P">#REF!</definedName>
    <definedName name="FORM424PP1">#REF!</definedName>
    <definedName name="FORM424PP10">#REF!</definedName>
    <definedName name="FORM424PP11">#REF!</definedName>
    <definedName name="FORM424PP12">#REF!</definedName>
    <definedName name="FORM424PP13">#REF!</definedName>
    <definedName name="FORM424PP14">#REF!</definedName>
    <definedName name="FORM424PP15">#REF!</definedName>
    <definedName name="FORM424PP2">#REF!</definedName>
    <definedName name="FORM424PP3">#REF!</definedName>
    <definedName name="FORM424PP4">#REF!</definedName>
    <definedName name="FORM424PP5">#REF!</definedName>
    <definedName name="FORM424PP6">#REF!</definedName>
    <definedName name="FORM424PP7">#REF!</definedName>
    <definedName name="FORM424PP8">#REF!</definedName>
    <definedName name="FORM424PP9">#REF!</definedName>
    <definedName name="FORM426P">#REF!</definedName>
    <definedName name="FORM427P">#REF!</definedName>
    <definedName name="FORM428EP10">#REF!</definedName>
    <definedName name="FORM428EP13">#REF!</definedName>
    <definedName name="FORM428EP4">#REF!</definedName>
    <definedName name="FORM428EP9">#REF!</definedName>
    <definedName name="FORM428P">#REF!</definedName>
    <definedName name="FORM429P">#REF!</definedName>
    <definedName name="FORQ3_PROJECT_DESCRIPTION">#REF!</definedName>
    <definedName name="FORQ3_TOTAL">#REF!</definedName>
    <definedName name="FORQ3_YEAR">#REF!</definedName>
    <definedName name="Full_Print" localSheetId="5">#REF!</definedName>
    <definedName name="Full_Print">#REF!</definedName>
    <definedName name="Header_Row" localSheetId="5">ROW(#REF!)</definedName>
    <definedName name="Header_Row">ROW(#REF!)</definedName>
    <definedName name="HOME">#REF!</definedName>
    <definedName name="INDLASTDAYACT_">#REF!</definedName>
    <definedName name="INPUT">#REF!</definedName>
    <definedName name="Int" localSheetId="5">#REF!</definedName>
    <definedName name="Int">#REF!</definedName>
    <definedName name="INT_CALC">#REF!</definedName>
    <definedName name="Interest_Rate" localSheetId="5">#REF!</definedName>
    <definedName name="Interest_Rate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LASSB_OUTSTANDING_BS_DATE" hidden="1">"c1972"</definedName>
    <definedName name="IQ_CLASSB_OUTSTANDING_FILING_DATE" hidden="1">"c1974"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PENSE_CODE_" hidden="1">"assign"</definedName>
    <definedName name="IQ_EXTRA_ACC_ITEMS_BR" hidden="1">"c412"</definedName>
    <definedName name="IQ_FH" hidden="1">100000</definedName>
    <definedName name="IQ_FHLB_DUE_AFTER_FIVE" hidden="1">"c2086"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TEL_EPS_EST" hidden="1">"c24729"</definedName>
    <definedName name="IQ_INTEREST_LT_DEBT" hidden="1">"c2086"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ISTING_CURRENCY" hidden="1">"c2127"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41829.3635416667</definedName>
    <definedName name="IQ_NAV_ACT_OR_EST" hidden="1">"c2225"</definedName>
    <definedName name="IQ_NET_DEBT_ISSUED_BR" hidden="1">"c753"</definedName>
    <definedName name="IQ_NET_INT_INC_BR" hidden="1">"c765"</definedName>
    <definedName name="IQ_NTM" hidden="1">6000</definedName>
    <definedName name="IQ_NUM_OFFICES" hidden="1">"c2088"</definedName>
    <definedName name="IQ_NUMBER_SHAREHOLDERS_CLASSB" hidden="1">"c1969"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ARGET_PRICE_LASTCLOSE" hidden="1">"c1855"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JE_185_OPT_PROV">#REF!</definedName>
    <definedName name="JE_85_OPT_PROV">#REF!</definedName>
    <definedName name="je90006a">#REF!</definedName>
    <definedName name="JURIS_G">#REF!</definedName>
    <definedName name="JURIS_G1">#REF!</definedName>
    <definedName name="JURIS_G2">#REF!</definedName>
    <definedName name="JURIS_G3">#REF!</definedName>
    <definedName name="l">#REF!</definedName>
    <definedName name="Last_Row" localSheetId="5">IF('Annual Status 2024 Corrected '!Values_Entered,'Annual Status 2024 Corrected '!Header_Row+'Annual Status 2024 Corrected '!Number_of_Payments,'Annual Status 2024 Corrected '!Header_Row)</definedName>
    <definedName name="Last_Row">IF(Values_Entered,Header_Row+Number_of_Payments,Header_Row)</definedName>
    <definedName name="LASTDAY">#REF!</definedName>
    <definedName name="Loan_Amount" localSheetId="5">#REF!</definedName>
    <definedName name="Loan_Amount">#REF!</definedName>
    <definedName name="Loan_Start" localSheetId="5">#REF!</definedName>
    <definedName name="Loan_Start">#REF!</definedName>
    <definedName name="Loan_Years" localSheetId="5">#REF!</definedName>
    <definedName name="Loan_Years">#REF!</definedName>
    <definedName name="MACRO">#REF!</definedName>
    <definedName name="MACROS">#REF!</definedName>
    <definedName name="MISC_CM">#REF!</definedName>
    <definedName name="MISC_QTR">#REF!</definedName>
    <definedName name="MISC_SRV_1995">#REF!</definedName>
    <definedName name="MISC_SRV_1996">#REF!</definedName>
    <definedName name="MISC_SRV_1998">#REF!</definedName>
    <definedName name="MISC_SRV_1999">#REF!</definedName>
    <definedName name="MISC_SRV_BUD">#REF!</definedName>
    <definedName name="MISC_SRV_FRCST">#REF!</definedName>
    <definedName name="MISC_YTD">#REF!</definedName>
    <definedName name="MKT_BASED_PUR">#REF!</definedName>
    <definedName name="MKT_BASED_PUR1">#REF!</definedName>
    <definedName name="MKT_BASED_PUR2">#REF!</definedName>
    <definedName name="MS_CM_ACT_ACT">#REF!</definedName>
    <definedName name="MS_CM_ACT_BUD">#REF!</definedName>
    <definedName name="MS_QTR_ACT_ACT">#REF!</definedName>
    <definedName name="MS_QTR_ACT_BUD">#REF!</definedName>
    <definedName name="MS_YTD_ACT_ACT">#REF!</definedName>
    <definedName name="MS_YTD_ACT_BUD">#REF!</definedName>
    <definedName name="Num_Pmt_Per_Year" localSheetId="5">#REF!</definedName>
    <definedName name="Num_Pmt_Per_Year">#REF!</definedName>
    <definedName name="Number_of_Payments" localSheetId="5">MATCH(0.01,'Annual Status 2024 Corrected '!End_Bal,-1)+1</definedName>
    <definedName name="Number_of_Payments">MATCH(0.01,End_Bal,-1)+1</definedName>
    <definedName name="OOR">#REF!</definedName>
    <definedName name="OOR_1997ACT">#REF!</definedName>
    <definedName name="OOR_1998ACT">#REF!</definedName>
    <definedName name="OOR_ACT">#REF!</definedName>
    <definedName name="OOR_BUD">#REF!</definedName>
    <definedName name="OOR_CURYRBUD">#REF!</definedName>
    <definedName name="OOR94ACT">#REF!</definedName>
    <definedName name="OOR97ACTYTD">#REF!</definedName>
    <definedName name="OOR98ACTYTD">#REF!</definedName>
    <definedName name="OORBUD">#REF!</definedName>
    <definedName name="OORBUDYTD">#REF!</definedName>
    <definedName name="OORCM_ACT_PRIOR">#REF!</definedName>
    <definedName name="OORVPACTYTD">#REF!</definedName>
    <definedName name="OORVPBUDYTD">#REF!</definedName>
    <definedName name="OPT_PROV_BUDGET">#REF!</definedName>
    <definedName name="OPT_PROVISION">#REF!</definedName>
    <definedName name="Origen" localSheetId="5">#REF!</definedName>
    <definedName name="Origen">#REF!</definedName>
    <definedName name="OTHER_ELEC_REV">#REF!</definedName>
    <definedName name="Page_2_of_5">#REF!</definedName>
    <definedName name="Page_3_of_5">#REF!</definedName>
    <definedName name="PAGE_FTMD">#REF!</definedName>
    <definedName name="PAGE_NSB">#REF!</definedName>
    <definedName name="Page18A">#REF!</definedName>
    <definedName name="Page18B">#REF!</definedName>
    <definedName name="Page18BDetail">#REF!</definedName>
    <definedName name="Page18Detail">#REF!</definedName>
    <definedName name="PagePrint" localSheetId="5">#REF!</definedName>
    <definedName name="PagePrint">#REF!</definedName>
    <definedName name="Pay_Date" localSheetId="5">#REF!</definedName>
    <definedName name="Pay_Date">#REF!</definedName>
    <definedName name="Pay_Num" localSheetId="5">#REF!</definedName>
    <definedName name="Pay_Num">#REF!</definedName>
    <definedName name="Payment_Date" localSheetId="5">DATE(YEAR('Annual Status 2024 Corrected '!Loan_Start),MONTH('Annual Status 2024 Corrected '!Loan_Start)+Payment_Number,DAY('Annual Status 2024 Corrected '!Loan_Start))</definedName>
    <definedName name="Payment_Date">DATE(YEAR(Loan_Start),MONTH(Loan_Start)+Payment_Number,DAY(Loan_Start))</definedName>
    <definedName name="pefis" localSheetId="5">#REF!</definedName>
    <definedName name="pefis">#REF!</definedName>
    <definedName name="PF_PROJECT_DESCRIPTION">#REF!</definedName>
    <definedName name="PF_TOTAL">#REF!</definedName>
    <definedName name="PF_WO_GROUP">#REF!</definedName>
    <definedName name="PF_YEAR">#REF!</definedName>
    <definedName name="PF_YTD">#REF!</definedName>
    <definedName name="PGIII_16">#REF!</definedName>
    <definedName name="PGIII_17">#REF!</definedName>
    <definedName name="PGIII_18">#REF!</definedName>
    <definedName name="PGIII_19">#REF!</definedName>
    <definedName name="PGS_BS_ASSET" localSheetId="5">#REF!</definedName>
    <definedName name="PGS_BS_ASSET">#REF!</definedName>
    <definedName name="PGS_BS_LIABILITY" localSheetId="5">#REF!</definedName>
    <definedName name="PGS_BS_LIABILITY">#REF!</definedName>
    <definedName name="PGS_CASH" localSheetId="5">#REF!</definedName>
    <definedName name="PGS_CASH">#REF!</definedName>
    <definedName name="PGS_IS" localSheetId="5">#REF!</definedName>
    <definedName name="PGS_IS">#REF!</definedName>
    <definedName name="PKDH">#REF!</definedName>
    <definedName name="PM_FORECAST">#REF!</definedName>
    <definedName name="PM_FORECAST_AMOUNT">#REF!</definedName>
    <definedName name="PM_MINUS_1_NAME">#REF!</definedName>
    <definedName name="PM_NAME">#REF!</definedName>
    <definedName name="Princ" localSheetId="5">#REF!</definedName>
    <definedName name="Princ">#REF!</definedName>
    <definedName name="_xlnm.Print_Area" localSheetId="3">'Account Corrections'!$A$1:$Q$95</definedName>
    <definedName name="_xlnm.Print_Area" localSheetId="5">'Annual Status 2024 Corrected '!$A$1:$O$62</definedName>
    <definedName name="_xlnm.Print_Area" localSheetId="1">'Column 4 Recon'!$A$2:$H$42</definedName>
    <definedName name="_xlnm.Print_Area" localSheetId="8">'DNU - Staff Table'!$A$2:$G$38</definedName>
    <definedName name="_xlnm.Print_Area" localSheetId="2">'Reserve Allocation - Original'!$A$1:$N$83</definedName>
    <definedName name="_xlnm.Print_Area" localSheetId="4">'Rev Defiency Impact'!$A$1:$H$26</definedName>
    <definedName name="_xlnm.Print_Area" localSheetId="6">'Revised Table'!$A$1:$I$41</definedName>
    <definedName name="Print_Area_MI">#REF!</definedName>
    <definedName name="Print_Area_Reset" localSheetId="5">OFFSET('Annual Status 2024 Corrected '!Full_Print,0,0,'Annual Status 2024 Corrected '!Last_Row)</definedName>
    <definedName name="Print_Area_Reset">OFFSET(Full_Print,0,0,Last_Row)</definedName>
    <definedName name="PRINT_MACRO">#REF!</definedName>
    <definedName name="_xlnm.Print_Titles" localSheetId="3">'Account Corrections'!$1:$2</definedName>
    <definedName name="_xlnm.Print_Titles" localSheetId="5">'Annual Status 2024 Corrected '!$A:$B,'Annual Status 2024 Corrected '!$1:$3</definedName>
    <definedName name="PrintRangeC1" localSheetId="5">#REF!</definedName>
    <definedName name="PrintRangeC1" localSheetId="7">#REF!</definedName>
    <definedName name="PrintRangeC1">#REF!</definedName>
    <definedName name="PRIOR_MONTH">#REF!</definedName>
    <definedName name="PRIOR_YEAR">#REF!</definedName>
    <definedName name="PURCHPWR">#REF!</definedName>
    <definedName name="PYVAR">#REF!</definedName>
    <definedName name="QTR_ACT_ACT">#REF!</definedName>
    <definedName name="QTR_ACT_BUD">#REF!</definedName>
    <definedName name="QTR_BASE_REV">#REF!</definedName>
    <definedName name="QTR_GWH_SALES">#REF!</definedName>
    <definedName name="QTRACTTBRR">#REF!</definedName>
    <definedName name="QTRBUDTBRR">#REF!</definedName>
    <definedName name="QTRDETAIL">#REF!</definedName>
    <definedName name="QTROOR">#REF!</definedName>
    <definedName name="QTRREVAN">#REF!</definedName>
    <definedName name="QUARTER">#REF!</definedName>
    <definedName name="random">#REF!</definedName>
    <definedName name="REFORECAST_1" localSheetId="5">#REF!</definedName>
    <definedName name="REFORECAST_1">#REF!</definedName>
    <definedName name="REFORECAST_2" localSheetId="5">#REF!</definedName>
    <definedName name="REFORECAST_2">#REF!</definedName>
    <definedName name="REFORECAST_3" localSheetId="5">#REF!</definedName>
    <definedName name="REFORECAST_3">#REF!</definedName>
    <definedName name="REFORECAST_4" localSheetId="5">#REF!</definedName>
    <definedName name="REFORECAST_4">#REF!</definedName>
    <definedName name="REFORECAST_5" localSheetId="5">#REF!</definedName>
    <definedName name="REFORECAST_5">#REF!</definedName>
    <definedName name="RENT_CM">#REF!</definedName>
    <definedName name="RENT_QTR">#REF!</definedName>
    <definedName name="RENT_YTD">#REF!</definedName>
    <definedName name="RESIDUAL_CM">#REF!</definedName>
    <definedName name="RESIDUALS_QTR">#REF!</definedName>
    <definedName name="REV_RECAP">#REF!</definedName>
    <definedName name="REV_RECAP_HDR">#REF!</definedName>
    <definedName name="rev153data" localSheetId="5">#REF!</definedName>
    <definedName name="rev153data" localSheetId="7">#REF!</definedName>
    <definedName name="rev153data">#REF!</definedName>
    <definedName name="rev451data" localSheetId="5">#REF!</definedName>
    <definedName name="rev451data" localSheetId="7">#REF!</definedName>
    <definedName name="rev451data">#REF!</definedName>
    <definedName name="REVENUES">#REF!</definedName>
    <definedName name="sally">#REF!</definedName>
    <definedName name="SCH_D_PURCH">#REF!,#REF!</definedName>
    <definedName name="Sched_Pay" localSheetId="5">#REF!</definedName>
    <definedName name="Sched_Pay">#REF!</definedName>
    <definedName name="Scheduled_Extra_Payments" localSheetId="5">#REF!</definedName>
    <definedName name="Scheduled_Extra_Payments">#REF!</definedName>
    <definedName name="Scheduled_Interest_Rate" localSheetId="5">#REF!</definedName>
    <definedName name="Scheduled_Interest_Rate">#REF!</definedName>
    <definedName name="Scheduled_Monthly_Payment" localSheetId="5">#REF!</definedName>
    <definedName name="Scheduled_Monthly_Payment">#REF!</definedName>
    <definedName name="SEP_FACTOR">#REF!</definedName>
    <definedName name="SEPDEM">#REF!</definedName>
    <definedName name="SEPDEMAND">#REF!</definedName>
    <definedName name="SEPENERGY">#REF!</definedName>
    <definedName name="SURVRPT">#REF!</definedName>
    <definedName name="TABLE" localSheetId="5">#REF!</definedName>
    <definedName name="TABLE" localSheetId="7">#REF!</definedName>
    <definedName name="TABLE">#REF!</definedName>
    <definedName name="Target" localSheetId="5">#REF!</definedName>
    <definedName name="Target">#REF!</definedName>
    <definedName name="TBRR">#REF!</definedName>
    <definedName name="TBRRBUD">#REF!</definedName>
    <definedName name="TEFIS">#REF!</definedName>
    <definedName name="three" localSheetId="5">#REF!</definedName>
    <definedName name="three">#REF!</definedName>
    <definedName name="Tolerance">#REF!</definedName>
    <definedName name="Total_Emissions">#REF!</definedName>
    <definedName name="Total_Interest" localSheetId="5">#REF!</definedName>
    <definedName name="Total_Interest">#REF!</definedName>
    <definedName name="Total_Pay" localSheetId="5">#REF!</definedName>
    <definedName name="Total_Pay">#REF!</definedName>
    <definedName name="Total_Payment" localSheetId="5">Scheduled_Payment+Extra_Payment</definedName>
    <definedName name="Total_Payment">Scheduled_Payment+Extra_Payment</definedName>
    <definedName name="UNBILD_REV_BUD">#REF!</definedName>
    <definedName name="UNBILLED">#REF!</definedName>
    <definedName name="UNBILLED_REVBUD">#REF!</definedName>
    <definedName name="UPDATED">#REF!</definedName>
    <definedName name="Values_Entered" localSheetId="5">IF('Annual Status 2024 Corrected '!Loan_Amount*'Annual Status 2024 Corrected '!Interest_Rate*'Annual Status 2024 Corrected '!Loan_Years*'Annual Status 2024 Corrected '!Loan_Start&gt;0,1,0)</definedName>
    <definedName name="Values_Entered">IF(Loan_Amount*Interest_Rate*Loan_Years*Loan_Start&gt;0,1,0)</definedName>
    <definedName name="wert" localSheetId="5">#REF!</definedName>
    <definedName name="wert">#REF!</definedName>
    <definedName name="WHOLESALE">#REF!</definedName>
    <definedName name="WKSHEET3">#REF!</definedName>
    <definedName name="WOR_APR">#REF!</definedName>
    <definedName name="WOR_AUG">#REF!</definedName>
    <definedName name="WOR_DEC">#REF!</definedName>
    <definedName name="WOR_EST_CHARGE_TYPE">#REF!</definedName>
    <definedName name="WOR_FEB">#REF!</definedName>
    <definedName name="WOR_JAN">#REF!</definedName>
    <definedName name="WOR_JUL">#REF!</definedName>
    <definedName name="WOR_JUN">#REF!</definedName>
    <definedName name="WOR_MAR">#REF!</definedName>
    <definedName name="WOR_MAY">#REF!</definedName>
    <definedName name="WOR_NOV">#REF!</definedName>
    <definedName name="WOR_OCT">#REF!</definedName>
    <definedName name="WOR_PROJECT_DESCRIPTION">#REF!</definedName>
    <definedName name="WOR_SEP">#REF!</definedName>
    <definedName name="WOR_TOTAL">#REF!</definedName>
    <definedName name="WOR_YEAR">#REF!</definedName>
    <definedName name="WORK_CM">#REF!</definedName>
    <definedName name="WORK_CM_YTD">#REF!</definedName>
    <definedName name="WORK_FP_GROUP">#REF!</definedName>
    <definedName name="WORK_MTD">#REF!</definedName>
    <definedName name="WORK_PROJECT_DESCRIPTION">#REF!</definedName>
    <definedName name="WORK_QTD">#REF!</definedName>
    <definedName name="WORK_SUMMARY_PROJECT_DESCRIPTION">#REF!</definedName>
    <definedName name="WORK_TOTAL">#REF!</definedName>
    <definedName name="WORK_WO_GROUP">#REF!</definedName>
    <definedName name="WORK_YEAR">#REF!</definedName>
    <definedName name="WORK_YTD">#REF!</definedName>
    <definedName name="WPFORM421P">#REF!</definedName>
    <definedName name="YTD_ACT_ACT">#REF!</definedName>
    <definedName name="YTD_ACT_BUD">#REF!</definedName>
    <definedName name="YTD_BASE_REV">#REF!</definedName>
    <definedName name="YTD_GWH_SALES">#REF!</definedName>
    <definedName name="YTD_MISC_REV">#REF!</definedName>
    <definedName name="YTD_OTHR_ELECT_">#REF!</definedName>
    <definedName name="YTD_RENT">#REF!</definedName>
    <definedName name="YTD_RESIDUAL_RE">#REF!</definedName>
    <definedName name="YTDACTTBRR">#REF!</definedName>
    <definedName name="YTDBUDTBRR">#REF!</definedName>
    <definedName name="YTDO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0" i="12" l="1"/>
  <c r="N78" i="12"/>
  <c r="N77" i="12"/>
  <c r="N76" i="12"/>
  <c r="N75" i="12"/>
  <c r="M68" i="12"/>
  <c r="L68" i="12"/>
  <c r="K68" i="12"/>
  <c r="I68" i="12"/>
  <c r="I70" i="12" s="1"/>
  <c r="F68" i="12"/>
  <c r="N67" i="12"/>
  <c r="J67" i="12"/>
  <c r="N66" i="12"/>
  <c r="J66" i="12"/>
  <c r="N65" i="12"/>
  <c r="N68" i="12" s="1"/>
  <c r="J65" i="12"/>
  <c r="J68" i="12" s="1"/>
  <c r="F61" i="12"/>
  <c r="M59" i="12"/>
  <c r="L59" i="12"/>
  <c r="K59" i="12"/>
  <c r="K70" i="12" s="1"/>
  <c r="F59" i="12"/>
  <c r="N58" i="12"/>
  <c r="J58" i="12"/>
  <c r="N57" i="12"/>
  <c r="J57" i="12"/>
  <c r="N56" i="12"/>
  <c r="J56" i="12"/>
  <c r="N55" i="12"/>
  <c r="J55" i="12"/>
  <c r="N54" i="12"/>
  <c r="J54" i="12"/>
  <c r="N53" i="12"/>
  <c r="J53" i="12"/>
  <c r="N52" i="12"/>
  <c r="J52" i="12"/>
  <c r="N51" i="12"/>
  <c r="J51" i="12"/>
  <c r="N50" i="12"/>
  <c r="J50" i="12"/>
  <c r="N49" i="12"/>
  <c r="J49" i="12"/>
  <c r="N48" i="12"/>
  <c r="J48" i="12"/>
  <c r="N47" i="12"/>
  <c r="J47" i="12"/>
  <c r="N46" i="12"/>
  <c r="J46" i="12"/>
  <c r="N45" i="12"/>
  <c r="F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F16" i="12"/>
  <c r="N15" i="12"/>
  <c r="J15" i="12"/>
  <c r="N14" i="12"/>
  <c r="N16" i="12" s="1"/>
  <c r="N59" i="12" l="1"/>
  <c r="M70" i="12"/>
  <c r="F70" i="12"/>
  <c r="F79" i="12" s="1"/>
  <c r="F81" i="12" s="1"/>
  <c r="N81" i="12" s="1"/>
  <c r="J35" i="12"/>
  <c r="L26" i="12" s="1"/>
  <c r="N26" i="12" s="1"/>
  <c r="L21" i="12"/>
  <c r="N21" i="12" s="1"/>
  <c r="J14" i="12"/>
  <c r="J45" i="12"/>
  <c r="J59" i="12" s="1"/>
  <c r="J70" i="12" s="1"/>
  <c r="H70" i="12"/>
  <c r="L33" i="12" l="1"/>
  <c r="N33" i="12" s="1"/>
  <c r="L30" i="12"/>
  <c r="N30" i="12" s="1"/>
  <c r="L29" i="12"/>
  <c r="N29" i="12" s="1"/>
  <c r="L23" i="12"/>
  <c r="N23" i="12" s="1"/>
  <c r="L31" i="12"/>
  <c r="N31" i="12" s="1"/>
  <c r="L22" i="12"/>
  <c r="N22" i="12" s="1"/>
  <c r="L20" i="12"/>
  <c r="L28" i="12"/>
  <c r="N28" i="12" s="1"/>
  <c r="L25" i="12"/>
  <c r="N25" i="12" s="1"/>
  <c r="L27" i="12"/>
  <c r="N27" i="12" s="1"/>
  <c r="L32" i="12"/>
  <c r="N32" i="12" s="1"/>
  <c r="L24" i="12"/>
  <c r="N24" i="12" s="1"/>
  <c r="L34" i="12"/>
  <c r="N34" i="12" s="1"/>
  <c r="N20" i="12" l="1"/>
  <c r="N35" i="12" s="1"/>
  <c r="N70" i="12" s="1"/>
  <c r="N79" i="12" s="1"/>
  <c r="L35" i="12"/>
  <c r="L70" i="12" s="1"/>
  <c r="U88" i="10" l="1"/>
  <c r="U89" i="10"/>
  <c r="U90" i="10"/>
  <c r="P92" i="10"/>
  <c r="P91" i="10"/>
  <c r="J88" i="10"/>
  <c r="I90" i="10" l="1"/>
  <c r="H90" i="10"/>
  <c r="G90" i="10"/>
  <c r="F90" i="10"/>
  <c r="E90" i="10"/>
  <c r="I89" i="10"/>
  <c r="H89" i="10"/>
  <c r="G89" i="10"/>
  <c r="F89" i="10"/>
  <c r="E89" i="10"/>
  <c r="I88" i="10"/>
  <c r="H88" i="10"/>
  <c r="G88" i="10"/>
  <c r="F88" i="10"/>
  <c r="E88" i="10"/>
  <c r="L24" i="4" l="1"/>
  <c r="G14" i="3" l="1"/>
  <c r="G13" i="3"/>
  <c r="D12" i="5"/>
  <c r="D11" i="5"/>
  <c r="D10" i="5"/>
  <c r="D9" i="5"/>
  <c r="O59" i="12"/>
  <c r="D38" i="5"/>
  <c r="D37" i="5"/>
  <c r="D36" i="5"/>
  <c r="D35" i="5"/>
  <c r="D34" i="5"/>
  <c r="D33" i="5"/>
  <c r="D32" i="5"/>
  <c r="D31" i="5"/>
  <c r="D30" i="5"/>
  <c r="D29" i="5"/>
  <c r="D28" i="5"/>
  <c r="D26" i="5" l="1"/>
  <c r="H26" i="5"/>
  <c r="D27" i="5"/>
  <c r="H27" i="5"/>
  <c r="H13" i="5"/>
  <c r="D14" i="5" l="1"/>
  <c r="H14" i="5"/>
  <c r="D23" i="5"/>
  <c r="H23" i="5"/>
  <c r="D21" i="5"/>
  <c r="H21" i="5"/>
  <c r="D18" i="5"/>
  <c r="H18" i="5"/>
  <c r="D22" i="5"/>
  <c r="H22" i="5"/>
  <c r="D20" i="5"/>
  <c r="H20" i="5"/>
  <c r="D24" i="5"/>
  <c r="H24" i="5"/>
  <c r="D25" i="5"/>
  <c r="H25" i="5"/>
  <c r="D19" i="5"/>
  <c r="H19" i="5"/>
  <c r="D16" i="5"/>
  <c r="H16" i="5"/>
  <c r="D15" i="5"/>
  <c r="H15" i="5"/>
  <c r="D17" i="5"/>
  <c r="H17" i="5"/>
  <c r="D13" i="5"/>
  <c r="E38" i="5" l="1"/>
  <c r="E37" i="5"/>
  <c r="E36" i="5"/>
  <c r="E35" i="5"/>
  <c r="E34" i="5"/>
  <c r="E33" i="5"/>
  <c r="E32" i="5"/>
  <c r="E30" i="5"/>
  <c r="E31" i="5"/>
  <c r="E29" i="5"/>
  <c r="E28" i="5"/>
  <c r="E27" i="5"/>
  <c r="E24" i="5"/>
  <c r="E25" i="5"/>
  <c r="E26" i="5"/>
  <c r="E18" i="5"/>
  <c r="E19" i="5"/>
  <c r="E20" i="5"/>
  <c r="E21" i="5"/>
  <c r="E22" i="5"/>
  <c r="E23" i="5"/>
  <c r="E17" i="5"/>
  <c r="E16" i="5"/>
  <c r="E15" i="5"/>
  <c r="E14" i="5"/>
  <c r="E13" i="5"/>
  <c r="E12" i="5"/>
  <c r="E11" i="5"/>
  <c r="E10" i="5"/>
  <c r="E9" i="5"/>
  <c r="C28" i="5" l="1"/>
  <c r="C34" i="5"/>
  <c r="C31" i="5"/>
  <c r="C30" i="5"/>
  <c r="C29" i="5"/>
  <c r="F29" i="5" s="1"/>
  <c r="I29" i="5" s="1"/>
  <c r="P88" i="10"/>
  <c r="C80" i="10"/>
  <c r="O79" i="10"/>
  <c r="N79" i="10"/>
  <c r="O83" i="10" s="1"/>
  <c r="M79" i="10"/>
  <c r="L79" i="10"/>
  <c r="K79" i="10"/>
  <c r="J79" i="10"/>
  <c r="I79" i="10"/>
  <c r="H79" i="10"/>
  <c r="I83" i="10" s="1"/>
  <c r="G79" i="10"/>
  <c r="H83" i="10" s="1"/>
  <c r="F79" i="10"/>
  <c r="G83" i="10" s="1"/>
  <c r="E79" i="10"/>
  <c r="D79" i="10"/>
  <c r="C79" i="10"/>
  <c r="P79" i="10" s="1"/>
  <c r="O73" i="10"/>
  <c r="N73" i="10"/>
  <c r="M73" i="10"/>
  <c r="L73" i="10"/>
  <c r="K73" i="10"/>
  <c r="J73" i="10"/>
  <c r="I73" i="10"/>
  <c r="H73" i="10"/>
  <c r="G73" i="10"/>
  <c r="F73" i="10"/>
  <c r="E73" i="10"/>
  <c r="D73" i="10"/>
  <c r="O71" i="10"/>
  <c r="N71" i="10"/>
  <c r="M71" i="10"/>
  <c r="L71" i="10"/>
  <c r="K71" i="10"/>
  <c r="J71" i="10"/>
  <c r="I71" i="10"/>
  <c r="H71" i="10"/>
  <c r="G71" i="10"/>
  <c r="F71" i="10"/>
  <c r="E71" i="10"/>
  <c r="D71" i="10"/>
  <c r="C71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G29" i="5" l="1"/>
  <c r="P71" i="10"/>
  <c r="P87" i="10" s="1"/>
  <c r="J83" i="10"/>
  <c r="K83" i="10"/>
  <c r="D83" i="10"/>
  <c r="L83" i="10"/>
  <c r="E83" i="10"/>
  <c r="K80" i="10" s="1"/>
  <c r="K81" i="10" s="1"/>
  <c r="M83" i="10"/>
  <c r="C81" i="10"/>
  <c r="F83" i="10"/>
  <c r="N83" i="10"/>
  <c r="P73" i="10"/>
  <c r="M80" i="10" l="1"/>
  <c r="M81" i="10" s="1"/>
  <c r="E80" i="10"/>
  <c r="E81" i="10" s="1"/>
  <c r="J80" i="10"/>
  <c r="J81" i="10" s="1"/>
  <c r="P83" i="10"/>
  <c r="F80" i="10"/>
  <c r="F81" i="10" s="1"/>
  <c r="L80" i="10"/>
  <c r="L81" i="10" s="1"/>
  <c r="D80" i="10"/>
  <c r="H80" i="10"/>
  <c r="H81" i="10" s="1"/>
  <c r="O80" i="10"/>
  <c r="O81" i="10" s="1"/>
  <c r="I80" i="10"/>
  <c r="I81" i="10" s="1"/>
  <c r="G80" i="10"/>
  <c r="G81" i="10" s="1"/>
  <c r="N80" i="10"/>
  <c r="N81" i="10" s="1"/>
  <c r="P80" i="10" l="1"/>
  <c r="P81" i="10" s="1"/>
  <c r="D81" i="10"/>
  <c r="O22" i="10" l="1"/>
  <c r="N22" i="10"/>
  <c r="M22" i="10"/>
  <c r="L22" i="10"/>
  <c r="K22" i="10"/>
  <c r="J22" i="10"/>
  <c r="I22" i="10"/>
  <c r="H22" i="10"/>
  <c r="G22" i="10"/>
  <c r="F22" i="10"/>
  <c r="E22" i="10"/>
  <c r="D2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E32" i="10"/>
  <c r="F32" i="10"/>
  <c r="G32" i="10"/>
  <c r="H32" i="10"/>
  <c r="I32" i="10"/>
  <c r="J32" i="10"/>
  <c r="K32" i="10"/>
  <c r="L32" i="10"/>
  <c r="M32" i="10"/>
  <c r="N32" i="10"/>
  <c r="O32" i="10"/>
  <c r="D32" i="10"/>
  <c r="D53" i="10"/>
  <c r="P48" i="10"/>
  <c r="C60" i="10"/>
  <c r="O59" i="10"/>
  <c r="N59" i="10"/>
  <c r="O63" i="10" s="1"/>
  <c r="M59" i="10"/>
  <c r="N63" i="10" s="1"/>
  <c r="L59" i="10"/>
  <c r="M63" i="10" s="1"/>
  <c r="K59" i="10"/>
  <c r="L63" i="10" s="1"/>
  <c r="J59" i="10"/>
  <c r="K63" i="10" s="1"/>
  <c r="I59" i="10"/>
  <c r="J63" i="10" s="1"/>
  <c r="H59" i="10"/>
  <c r="I63" i="10" s="1"/>
  <c r="G59" i="10"/>
  <c r="H63" i="10" s="1"/>
  <c r="F59" i="10"/>
  <c r="G63" i="10" s="1"/>
  <c r="E59" i="10"/>
  <c r="F63" i="10" s="1"/>
  <c r="D59" i="10"/>
  <c r="E63" i="10" s="1"/>
  <c r="C59" i="10"/>
  <c r="D63" i="10" s="1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P49" i="10"/>
  <c r="D38" i="10"/>
  <c r="E42" i="10" s="1"/>
  <c r="E38" i="10"/>
  <c r="F42" i="10" s="1"/>
  <c r="F38" i="10"/>
  <c r="G42" i="10" s="1"/>
  <c r="G38" i="10"/>
  <c r="H42" i="10" s="1"/>
  <c r="H38" i="10"/>
  <c r="I42" i="10" s="1"/>
  <c r="I38" i="10"/>
  <c r="J42" i="10" s="1"/>
  <c r="J38" i="10"/>
  <c r="K42" i="10" s="1"/>
  <c r="K38" i="10"/>
  <c r="L42" i="10" s="1"/>
  <c r="L38" i="10"/>
  <c r="M42" i="10" s="1"/>
  <c r="M38" i="10"/>
  <c r="N42" i="10" s="1"/>
  <c r="N38" i="10"/>
  <c r="O42" i="10" s="1"/>
  <c r="O38" i="10"/>
  <c r="C38" i="10"/>
  <c r="D42" i="10" s="1"/>
  <c r="O19" i="10" l="1"/>
  <c r="O20" i="10" s="1"/>
  <c r="D19" i="10"/>
  <c r="D20" i="10" s="1"/>
  <c r="P12" i="10"/>
  <c r="N39" i="10"/>
  <c r="F39" i="10"/>
  <c r="E39" i="10"/>
  <c r="G39" i="10"/>
  <c r="J39" i="10"/>
  <c r="E60" i="10"/>
  <c r="E61" i="10" s="1"/>
  <c r="N60" i="10"/>
  <c r="N61" i="10" s="1"/>
  <c r="F60" i="10"/>
  <c r="F61" i="10" s="1"/>
  <c r="L60" i="10"/>
  <c r="L61" i="10" s="1"/>
  <c r="I60" i="10"/>
  <c r="I61" i="10" s="1"/>
  <c r="O60" i="10"/>
  <c r="O61" i="10" s="1"/>
  <c r="J60" i="10"/>
  <c r="J61" i="10" s="1"/>
  <c r="D60" i="10"/>
  <c r="D61" i="10" s="1"/>
  <c r="H60" i="10"/>
  <c r="H61" i="10" s="1"/>
  <c r="K60" i="10"/>
  <c r="K61" i="10" s="1"/>
  <c r="M60" i="10"/>
  <c r="M61" i="10" s="1"/>
  <c r="G60" i="10"/>
  <c r="G61" i="10" s="1"/>
  <c r="L39" i="10"/>
  <c r="M39" i="10"/>
  <c r="K39" i="10"/>
  <c r="E19" i="10"/>
  <c r="E20" i="10" s="1"/>
  <c r="I39" i="10"/>
  <c r="G19" i="10"/>
  <c r="G20" i="10" s="1"/>
  <c r="N19" i="10"/>
  <c r="N20" i="10" s="1"/>
  <c r="D39" i="10"/>
  <c r="H39" i="10"/>
  <c r="F19" i="10"/>
  <c r="F20" i="10" s="1"/>
  <c r="C61" i="10"/>
  <c r="O39" i="10"/>
  <c r="J19" i="10"/>
  <c r="J20" i="10" s="1"/>
  <c r="K19" i="10"/>
  <c r="K20" i="10" s="1"/>
  <c r="L19" i="10"/>
  <c r="L20" i="10" s="1"/>
  <c r="H19" i="10"/>
  <c r="H20" i="10" s="1"/>
  <c r="M19" i="10"/>
  <c r="M20" i="10" s="1"/>
  <c r="I19" i="10"/>
  <c r="I20" i="10" s="1"/>
  <c r="P52" i="10"/>
  <c r="P50" i="10"/>
  <c r="P59" i="10"/>
  <c r="P63" i="10" l="1"/>
  <c r="P60" i="10"/>
  <c r="P61" i="10" s="1"/>
  <c r="C39" i="10" l="1"/>
  <c r="P38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P29" i="10"/>
  <c r="P28" i="10"/>
  <c r="C40" i="10" l="1"/>
  <c r="P32" i="10"/>
  <c r="P30" i="10"/>
  <c r="C19" i="10" l="1"/>
  <c r="C20" i="10" s="1"/>
  <c r="D10" i="10"/>
  <c r="E10" i="10"/>
  <c r="F10" i="10"/>
  <c r="G10" i="10"/>
  <c r="H10" i="10"/>
  <c r="I10" i="10"/>
  <c r="J10" i="10"/>
  <c r="K10" i="10"/>
  <c r="L10" i="10"/>
  <c r="M10" i="10"/>
  <c r="N10" i="10"/>
  <c r="O10" i="10"/>
  <c r="C10" i="10"/>
  <c r="D14" i="11" l="1"/>
  <c r="D18" i="11" s="1"/>
  <c r="D22" i="11" s="1"/>
  <c r="H12" i="11"/>
  <c r="P8" i="10"/>
  <c r="P18" i="10"/>
  <c r="C10" i="5" l="1"/>
  <c r="G10" i="5" s="1"/>
  <c r="C11" i="5"/>
  <c r="F11" i="5" s="1"/>
  <c r="I11" i="5" s="1"/>
  <c r="C12" i="5"/>
  <c r="G12" i="5" s="1"/>
  <c r="C13" i="5"/>
  <c r="G13" i="5" s="1"/>
  <c r="C14" i="5"/>
  <c r="G14" i="5" s="1"/>
  <c r="C15" i="5"/>
  <c r="F15" i="5" s="1"/>
  <c r="I15" i="5" s="1"/>
  <c r="C16" i="5"/>
  <c r="C17" i="5"/>
  <c r="G17" i="5" s="1"/>
  <c r="C18" i="5"/>
  <c r="G18" i="5" s="1"/>
  <c r="C19" i="5"/>
  <c r="F19" i="5" s="1"/>
  <c r="I19" i="5" s="1"/>
  <c r="C20" i="5"/>
  <c r="G20" i="5" s="1"/>
  <c r="C21" i="5"/>
  <c r="G21" i="5" s="1"/>
  <c r="C22" i="5"/>
  <c r="G22" i="5" s="1"/>
  <c r="C23" i="5"/>
  <c r="F23" i="5" s="1"/>
  <c r="I23" i="5" s="1"/>
  <c r="C24" i="5"/>
  <c r="C25" i="5"/>
  <c r="F25" i="5" s="1"/>
  <c r="I25" i="5" s="1"/>
  <c r="C26" i="5"/>
  <c r="F26" i="5" s="1"/>
  <c r="I26" i="5" s="1"/>
  <c r="C27" i="5"/>
  <c r="F27" i="5" s="1"/>
  <c r="I27" i="5" s="1"/>
  <c r="G28" i="5"/>
  <c r="G30" i="5"/>
  <c r="F31" i="5"/>
  <c r="I31" i="5" s="1"/>
  <c r="C32" i="5"/>
  <c r="G32" i="5" s="1"/>
  <c r="C33" i="5"/>
  <c r="G33" i="5" s="1"/>
  <c r="C35" i="5"/>
  <c r="F35" i="5" s="1"/>
  <c r="I35" i="5" s="1"/>
  <c r="C36" i="5"/>
  <c r="G36" i="5" s="1"/>
  <c r="C37" i="5"/>
  <c r="G37" i="5" s="1"/>
  <c r="C38" i="5"/>
  <c r="G38" i="5" s="1"/>
  <c r="G34" i="5"/>
  <c r="C9" i="5"/>
  <c r="F9" i="5" s="1"/>
  <c r="I9" i="5" s="1"/>
  <c r="F38" i="5"/>
  <c r="I38" i="5" s="1"/>
  <c r="F30" i="5"/>
  <c r="I30" i="5" s="1"/>
  <c r="G27" i="5"/>
  <c r="G24" i="5"/>
  <c r="F24" i="5"/>
  <c r="I24" i="5" s="1"/>
  <c r="G16" i="5"/>
  <c r="F16" i="5"/>
  <c r="I16" i="5" s="1"/>
  <c r="F13" i="5"/>
  <c r="I13" i="5" s="1"/>
  <c r="F32" i="5" l="1"/>
  <c r="I32" i="5" s="1"/>
  <c r="F17" i="5"/>
  <c r="I17" i="5" s="1"/>
  <c r="G25" i="5"/>
  <c r="G23" i="5"/>
  <c r="F18" i="5"/>
  <c r="I18" i="5" s="1"/>
  <c r="F10" i="5"/>
  <c r="I10" i="5" s="1"/>
  <c r="G19" i="5"/>
  <c r="G11" i="5"/>
  <c r="G35" i="5"/>
  <c r="G26" i="5"/>
  <c r="F36" i="5"/>
  <c r="I36" i="5" s="1"/>
  <c r="G15" i="5"/>
  <c r="F22" i="5"/>
  <c r="I22" i="5" s="1"/>
  <c r="G31" i="5"/>
  <c r="F14" i="5"/>
  <c r="I14" i="5" s="1"/>
  <c r="F21" i="5"/>
  <c r="I21" i="5" s="1"/>
  <c r="F12" i="5"/>
  <c r="I12" i="5" s="1"/>
  <c r="F20" i="5"/>
  <c r="I20" i="5" s="1"/>
  <c r="F28" i="5"/>
  <c r="I28" i="5" s="1"/>
  <c r="F33" i="5"/>
  <c r="I33" i="5" s="1"/>
  <c r="F37" i="5"/>
  <c r="I37" i="5" s="1"/>
  <c r="F34" i="5"/>
  <c r="I34" i="5" s="1"/>
  <c r="G9" i="5"/>
  <c r="P9" i="10" l="1"/>
  <c r="P10" i="10" s="1"/>
  <c r="F10" i="3" l="1"/>
  <c r="H10" i="3" s="1"/>
  <c r="F11" i="3"/>
  <c r="H11" i="3" s="1"/>
  <c r="F12" i="3"/>
  <c r="H12" i="3" s="1"/>
  <c r="F13" i="3"/>
  <c r="H13" i="3" s="1"/>
  <c r="F14" i="3"/>
  <c r="H14" i="3" s="1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H28" i="3" s="1"/>
  <c r="F29" i="3"/>
  <c r="H29" i="3" s="1"/>
  <c r="F30" i="3"/>
  <c r="H30" i="3" s="1"/>
  <c r="F31" i="3"/>
  <c r="H31" i="3" s="1"/>
  <c r="F32" i="3"/>
  <c r="H32" i="3" s="1"/>
  <c r="F33" i="3"/>
  <c r="H33" i="3" s="1"/>
  <c r="F34" i="3"/>
  <c r="H34" i="3" s="1"/>
  <c r="F35" i="3"/>
  <c r="H35" i="3" s="1"/>
  <c r="F36" i="3"/>
  <c r="H36" i="3" s="1"/>
  <c r="F37" i="3"/>
  <c r="H37" i="3" s="1"/>
  <c r="F38" i="3"/>
  <c r="H38" i="3" s="1"/>
  <c r="F9" i="3"/>
  <c r="H9" i="3" s="1"/>
  <c r="N80" i="4"/>
  <c r="N79" i="4"/>
  <c r="N78" i="4"/>
  <c r="N77" i="4"/>
  <c r="M70" i="4"/>
  <c r="L70" i="4"/>
  <c r="K70" i="4"/>
  <c r="I70" i="4"/>
  <c r="I72" i="4" s="1"/>
  <c r="F70" i="4"/>
  <c r="N69" i="4"/>
  <c r="J69" i="4"/>
  <c r="N68" i="4"/>
  <c r="J68" i="4"/>
  <c r="N67" i="4"/>
  <c r="F63" i="4"/>
  <c r="O61" i="4"/>
  <c r="M61" i="4"/>
  <c r="M72" i="4" s="1"/>
  <c r="L61" i="4"/>
  <c r="K61" i="4"/>
  <c r="F61" i="4"/>
  <c r="N60" i="4"/>
  <c r="J60" i="4"/>
  <c r="N59" i="4"/>
  <c r="J59" i="4"/>
  <c r="N58" i="4"/>
  <c r="J58" i="4"/>
  <c r="N57" i="4"/>
  <c r="J57" i="4"/>
  <c r="N56" i="4"/>
  <c r="J56" i="4"/>
  <c r="N55" i="4"/>
  <c r="J55" i="4"/>
  <c r="N54" i="4"/>
  <c r="J54" i="4"/>
  <c r="N53" i="4"/>
  <c r="J53" i="4"/>
  <c r="N52" i="4"/>
  <c r="J52" i="4"/>
  <c r="N51" i="4"/>
  <c r="J51" i="4"/>
  <c r="N50" i="4"/>
  <c r="J50" i="4"/>
  <c r="N49" i="4"/>
  <c r="J49" i="4"/>
  <c r="N48" i="4"/>
  <c r="J48" i="4"/>
  <c r="N47" i="4"/>
  <c r="F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F18" i="4"/>
  <c r="N17" i="4"/>
  <c r="J17" i="4"/>
  <c r="N16" i="4"/>
  <c r="N18" i="4" s="1"/>
  <c r="K72" i="4" l="1"/>
  <c r="F72" i="4"/>
  <c r="F81" i="4" s="1"/>
  <c r="F83" i="4" s="1"/>
  <c r="N83" i="4" s="1"/>
  <c r="N70" i="4"/>
  <c r="J47" i="4"/>
  <c r="J61" i="4" s="1"/>
  <c r="N61" i="4"/>
  <c r="J16" i="4"/>
  <c r="J37" i="4"/>
  <c r="L29" i="4" s="1"/>
  <c r="J67" i="4"/>
  <c r="J70" i="4" s="1"/>
  <c r="N29" i="4" l="1"/>
  <c r="G20" i="3"/>
  <c r="H20" i="3" s="1"/>
  <c r="L31" i="4"/>
  <c r="L32" i="4"/>
  <c r="L36" i="4"/>
  <c r="L27" i="4"/>
  <c r="L25" i="4"/>
  <c r="L30" i="4"/>
  <c r="L22" i="4"/>
  <c r="L28" i="4"/>
  <c r="L35" i="4"/>
  <c r="L33" i="4"/>
  <c r="J72" i="4"/>
  <c r="L34" i="4"/>
  <c r="L23" i="4"/>
  <c r="N23" i="4" s="1"/>
  <c r="L26" i="4"/>
  <c r="N34" i="4" l="1"/>
  <c r="G25" i="3"/>
  <c r="H25" i="3" s="1"/>
  <c r="N24" i="4"/>
  <c r="G15" i="3"/>
  <c r="H15" i="3" s="1"/>
  <c r="N32" i="4"/>
  <c r="G23" i="3"/>
  <c r="H23" i="3" s="1"/>
  <c r="N27" i="4"/>
  <c r="G18" i="3"/>
  <c r="H18" i="3" s="1"/>
  <c r="N33" i="4"/>
  <c r="G24" i="3"/>
  <c r="H24" i="3" s="1"/>
  <c r="N28" i="4"/>
  <c r="G19" i="3"/>
  <c r="H19" i="3" s="1"/>
  <c r="N31" i="4"/>
  <c r="G22" i="3"/>
  <c r="H22" i="3" s="1"/>
  <c r="N25" i="4"/>
  <c r="G16" i="3"/>
  <c r="H16" i="3" s="1"/>
  <c r="N36" i="4"/>
  <c r="G27" i="3"/>
  <c r="H27" i="3" s="1"/>
  <c r="N35" i="4"/>
  <c r="G26" i="3"/>
  <c r="H26" i="3" s="1"/>
  <c r="N26" i="4"/>
  <c r="G17" i="3"/>
  <c r="H17" i="3" s="1"/>
  <c r="N30" i="4"/>
  <c r="G21" i="3"/>
  <c r="H21" i="3" s="1"/>
  <c r="N22" i="4"/>
  <c r="L37" i="4"/>
  <c r="L72" i="4" s="1"/>
  <c r="N82" i="4" s="1"/>
  <c r="N37" i="4" l="1"/>
  <c r="N72" i="4" s="1"/>
  <c r="N81" i="4" s="1"/>
  <c r="E36" i="2"/>
  <c r="F36" i="2" s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7" i="2"/>
  <c r="F38" i="2"/>
  <c r="F9" i="2"/>
  <c r="F10" i="2"/>
  <c r="F11" i="2"/>
  <c r="F12" i="2"/>
  <c r="F13" i="2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9" i="1"/>
  <c r="P42" i="10"/>
  <c r="E40" i="10" l="1"/>
  <c r="D40" i="10"/>
  <c r="F40" i="10" l="1"/>
  <c r="G40" i="10" l="1"/>
  <c r="H40" i="10" l="1"/>
  <c r="I40" i="10" l="1"/>
  <c r="J40" i="10" l="1"/>
  <c r="K40" i="10" l="1"/>
  <c r="L40" i="10" l="1"/>
  <c r="M40" i="10" l="1"/>
  <c r="N40" i="10" l="1"/>
  <c r="O40" i="10" l="1"/>
  <c r="P39" i="10"/>
  <c r="P40" i="10" s="1"/>
  <c r="P19" i="10"/>
  <c r="P20" i="10" s="1"/>
  <c r="P89" i="10" s="1"/>
  <c r="F10" i="11" s="1"/>
  <c r="H10" i="11" s="1"/>
  <c r="H14" i="11" s="1"/>
  <c r="P22" i="10"/>
  <c r="P93" i="10" s="1"/>
  <c r="P94" i="10" s="1"/>
  <c r="P95" i="10" l="1"/>
  <c r="F16" i="11" s="1"/>
  <c r="H16" i="11" s="1"/>
  <c r="H18" i="11" s="1"/>
  <c r="H22" i="11" s="1"/>
  <c r="F25" i="11" s="1"/>
</calcChain>
</file>

<file path=xl/sharedStrings.xml><?xml version="1.0" encoding="utf-8"?>
<sst xmlns="http://schemas.openxmlformats.org/spreadsheetml/2006/main" count="672" uniqueCount="287">
  <si>
    <t>Account</t>
  </si>
  <si>
    <t>Acct. Description</t>
  </si>
  <si>
    <t>RNG Purification Equip</t>
  </si>
  <si>
    <t>RNG Purification Equip 104</t>
  </si>
  <si>
    <t>LNG Liquified Natural gas</t>
  </si>
  <si>
    <t>Land Distribution</t>
  </si>
  <si>
    <t>Land Rights</t>
  </si>
  <si>
    <t>Structures and Improvements</t>
  </si>
  <si>
    <t>Mains - Steel</t>
  </si>
  <si>
    <t>Mains - Plastic</t>
  </si>
  <si>
    <t>Compressor Equipment</t>
  </si>
  <si>
    <t>M&amp;R Equipment - General</t>
  </si>
  <si>
    <t>M&amp;R Equipment - City</t>
  </si>
  <si>
    <t>Service Lines - Steel</t>
  </si>
  <si>
    <t>Service Lines - Plastic</t>
  </si>
  <si>
    <t>Meters</t>
  </si>
  <si>
    <t>Meter Installations</t>
  </si>
  <si>
    <t>Regulators</t>
  </si>
  <si>
    <t>Regulator Install House</t>
  </si>
  <si>
    <t>M&amp;R Eqipment - Industrial</t>
  </si>
  <si>
    <t>Other Equipment</t>
  </si>
  <si>
    <t>Structures and Improvements - Leasholds</t>
  </si>
  <si>
    <t>Computer Equipment</t>
  </si>
  <si>
    <t>Office Equipment Machines</t>
  </si>
  <si>
    <t>Auto &amp;Truck less than 1/2 Ton</t>
  </si>
  <si>
    <t>Auto &amp;Truck  3/4 -1 Ton</t>
  </si>
  <si>
    <t>Trucks over 1 Ton</t>
  </si>
  <si>
    <t>CNG Station Equipment</t>
  </si>
  <si>
    <t>Power Operated Equipment</t>
  </si>
  <si>
    <t>Misc Equipment - Gas</t>
  </si>
  <si>
    <t>Tools, Shop &amp; Garage Equipment</t>
  </si>
  <si>
    <t>12/31/20204</t>
  </si>
  <si>
    <t>(1)</t>
  </si>
  <si>
    <t>Dep Study</t>
  </si>
  <si>
    <t xml:space="preserve">MFR </t>
  </si>
  <si>
    <t>G-1 pg 12</t>
  </si>
  <si>
    <t>G-1 pg 14</t>
  </si>
  <si>
    <t>(1a)</t>
  </si>
  <si>
    <t>(2)</t>
  </si>
  <si>
    <t>ADSR</t>
  </si>
  <si>
    <t>Difference</t>
  </si>
  <si>
    <t>(3)</t>
  </si>
  <si>
    <t>(4) = (1) +(1a) -(2)</t>
  </si>
  <si>
    <t>(4)</t>
  </si>
  <si>
    <t>(5) = (1) +(1a) -(3)</t>
  </si>
  <si>
    <t>(5)</t>
  </si>
  <si>
    <t>(5) = (1) - (3)</t>
  </si>
  <si>
    <t>(4) = (1) - (2)</t>
  </si>
  <si>
    <t>No.</t>
  </si>
  <si>
    <t>Balance included on MFR G-1, p. 14</t>
  </si>
  <si>
    <t>Column (5) Adjustments to Reconcile</t>
  </si>
  <si>
    <t>See Account 33601 on ADSR</t>
  </si>
  <si>
    <t>See Account 36400 on ADSR</t>
  </si>
  <si>
    <t>ADSR is sum of two lines (10400 39401 CNG Station Equipment $912,610 and 39401 39401 - CNG Station Equipment $47,990)</t>
  </si>
  <si>
    <t>Column (4) Reconciling Items</t>
  </si>
  <si>
    <t>Book Reserve</t>
  </si>
  <si>
    <t>Theo Reserve</t>
  </si>
  <si>
    <t>Allocation of Dpen Credit</t>
  </si>
  <si>
    <t>Adjusted Reserve</t>
  </si>
  <si>
    <t>RNG Plant Leased- 15 Years</t>
  </si>
  <si>
    <t>Subtotal</t>
  </si>
  <si>
    <t>Allocation of</t>
  </si>
  <si>
    <t>$34 million</t>
  </si>
  <si>
    <t>Structures and Improvements - Leaseholds</t>
  </si>
  <si>
    <t>(6)</t>
  </si>
  <si>
    <t xml:space="preserve">Remaining </t>
  </si>
  <si>
    <t>(7)</t>
  </si>
  <si>
    <t>(7) = (4) + (6)</t>
  </si>
  <si>
    <t>Difference**</t>
  </si>
  <si>
    <t xml:space="preserve">** Remaining difference has been determined to be a version error related to the 12/31/2024 Book Reserve amounts shown in the file “Reserve Allocation” tab in file “Peoples Gas Depr Study Plant and Reserves Forecast 2024.xlsx”.  Column F labeled “Book Reserve” in that tab was not updated for the final December 31, 2024 MFR balances.  </t>
  </si>
  <si>
    <t>* Data from tab "Reserve Allocation" in original file "Peoples Gas Depr Study  Plant and Reserves Forecast.xlsx"</t>
  </si>
  <si>
    <t>G-1 pg 12 &amp; 14</t>
  </si>
  <si>
    <t>Do not print below table.  For reference only</t>
  </si>
  <si>
    <t>PGS 2024 ANNUAL STATUS REPORT</t>
  </si>
  <si>
    <t>PLANT</t>
  </si>
  <si>
    <t>RESERVE</t>
  </si>
  <si>
    <t>Gross</t>
  </si>
  <si>
    <t>Salvage</t>
  </si>
  <si>
    <t>COR</t>
  </si>
  <si>
    <t>Depr</t>
  </si>
  <si>
    <t>Depr Description</t>
  </si>
  <si>
    <t>BOP</t>
  </si>
  <si>
    <t>Additions</t>
  </si>
  <si>
    <t>Retirements</t>
  </si>
  <si>
    <t>Adj / Xfers</t>
  </si>
  <si>
    <t>EOP</t>
  </si>
  <si>
    <t>Depreciation</t>
  </si>
  <si>
    <t>RWIP Salvage</t>
  </si>
  <si>
    <t>RWIP COR</t>
  </si>
  <si>
    <t>Rate</t>
  </si>
  <si>
    <t>39401 - CNG Station Equipment</t>
  </si>
  <si>
    <t>10500 - Future Use</t>
  </si>
  <si>
    <t>11501 - PGS Acq Adj (Reserve)</t>
  </si>
  <si>
    <t>30100 - Organization</t>
  </si>
  <si>
    <t>30200 - Franchise &amp; Consents</t>
  </si>
  <si>
    <t>30300 - Misc Intangible Plant</t>
  </si>
  <si>
    <t>30301 - Custom Intangible Plant</t>
  </si>
  <si>
    <t>30302 - SAP Intangible Plant</t>
  </si>
  <si>
    <t>33600-Renewable Natural Gas (RNG)</t>
  </si>
  <si>
    <t>36400-Liquified Natural Gas (LNG)</t>
  </si>
  <si>
    <t>37400 - Land Distribution</t>
  </si>
  <si>
    <t>37402 - Land Rights</t>
  </si>
  <si>
    <t>37500 - Structures &amp; Improvements</t>
  </si>
  <si>
    <t>37600 - Mains Steel</t>
  </si>
  <si>
    <t>37602 - Mains Plastic</t>
  </si>
  <si>
    <t>37700 - Compressor Equipment</t>
  </si>
  <si>
    <t>37800 - Meas &amp; Reg Station Eqp Gen</t>
  </si>
  <si>
    <t>37900 - Meas &amp; Reg Station Eqp City</t>
  </si>
  <si>
    <t>38000 - Services Steel</t>
  </si>
  <si>
    <t>38002 - Services Plastic</t>
  </si>
  <si>
    <t>38100 - Meters</t>
  </si>
  <si>
    <t>38200 - Meter Installations</t>
  </si>
  <si>
    <t>38300 - House Regulators</t>
  </si>
  <si>
    <t>38400 - House Regulator Installs</t>
  </si>
  <si>
    <t>38500 - Meas &amp; Reg Station Eqp Ind</t>
  </si>
  <si>
    <t>38602 - Other Property Cust Premise</t>
  </si>
  <si>
    <t>38608 - Other Property Cust Premise</t>
  </si>
  <si>
    <t>38700 - Other Equipment</t>
  </si>
  <si>
    <t>39000 - Structures &amp; Improvements</t>
  </si>
  <si>
    <t>39002 - Structur &amp; Improv Leasehold</t>
  </si>
  <si>
    <t>39100 - Office Furniture</t>
  </si>
  <si>
    <t>39101 - Computer Equipment</t>
  </si>
  <si>
    <t>39102 - Office Equipment</t>
  </si>
  <si>
    <t>39103 - Office Furniture</t>
  </si>
  <si>
    <t>39201 - Vehicles up to 1/2 Tons</t>
  </si>
  <si>
    <t>39202 - Vehicles from 1/2 - 1 Tons</t>
  </si>
  <si>
    <t>39203 - Airplane</t>
  </si>
  <si>
    <t>39204 - Trailers &amp; Other</t>
  </si>
  <si>
    <t>39205 - Vehicles over 1 Ton</t>
  </si>
  <si>
    <t xml:space="preserve">39300 - Stores Equipment </t>
  </si>
  <si>
    <t>39400 - Tools, Shop &amp; Garage Equip</t>
  </si>
  <si>
    <t>39500 - Laboratory Equipment</t>
  </si>
  <si>
    <t>39600 - Power Operated Equipment</t>
  </si>
  <si>
    <t>39700 - Communication Equipment</t>
  </si>
  <si>
    <t>39800 - Miscellaneous Equipment</t>
  </si>
  <si>
    <t>39900 - Other Tangible Property</t>
  </si>
  <si>
    <t>33601-Renewable Natural Gas (RNG) 104</t>
  </si>
  <si>
    <t>Note 1: The $34 million Amortization of Excess Depreciation Reserve was allocated over Distribution Plant based on the excess Theoretical Reserve as of 12/31/2024.  Prior to the transfer the full $34 million was all recorded in account 37600 - Mains Steel.</t>
  </si>
  <si>
    <t>Note 2: The above reflects the proposed depreciation rates effective January 1, 2024.</t>
  </si>
  <si>
    <t>Peoples Gas System</t>
  </si>
  <si>
    <t>As filed in Account 391.00 - Office Furniture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</si>
  <si>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</si>
  <si>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</si>
  <si>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</si>
  <si>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</si>
  <si>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</si>
  <si>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</si>
  <si>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</si>
  <si>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</si>
  <si>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</si>
  <si>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</si>
  <si>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</si>
  <si>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</si>
  <si>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13 mo. Avg</t>
  </si>
  <si>
    <t>Plant</t>
  </si>
  <si>
    <t>Net Rate Base</t>
  </si>
  <si>
    <t>a</t>
  </si>
  <si>
    <t>Depr. Expense</t>
  </si>
  <si>
    <t>b</t>
  </si>
  <si>
    <t>2024 Dep Rate</t>
  </si>
  <si>
    <t>Corrected Account 391.00 - Office Furniture</t>
  </si>
  <si>
    <t>c</t>
  </si>
  <si>
    <t>d</t>
  </si>
  <si>
    <t>As Filed 13-month Avg. Net Rate Base</t>
  </si>
  <si>
    <t>Corrected 13-month Avg. Net Rate Base</t>
  </si>
  <si>
    <t>Increase / (Decrease) Depreciation Expense</t>
  </si>
  <si>
    <t>Income Tax Impact at 25.345% effective tax rate</t>
  </si>
  <si>
    <t>Net Expense Impact / Increase to NOI</t>
  </si>
  <si>
    <t>As Filed</t>
  </si>
  <si>
    <t>Staff 1st IRR 11(a)</t>
  </si>
  <si>
    <t>Corrected</t>
  </si>
  <si>
    <t>DESCRIPTION</t>
  </si>
  <si>
    <t>MFR G-5</t>
  </si>
  <si>
    <t>Correction</t>
  </si>
  <si>
    <t>ADJUSTED RATE BASE</t>
  </si>
  <si>
    <t>REQUESTED RATE OF RETURN</t>
  </si>
  <si>
    <t>N.O.I. REQUIREMENTS</t>
  </si>
  <si>
    <t>LESS: ADJUSTED N.O.I.</t>
  </si>
  <si>
    <t>N.O.I. DEFICIENCY</t>
  </si>
  <si>
    <t>EXPANSION FACTOR</t>
  </si>
  <si>
    <t>REVENUE DEFICIENCY</t>
  </si>
  <si>
    <t>Net Decrease in Revenue Deficiency</t>
  </si>
  <si>
    <t>Original Reserve Allocation Tab</t>
  </si>
  <si>
    <t>Revised Table of Depreciation Reserve Data as of 12/31/2024 - Corrected for Errata</t>
  </si>
  <si>
    <t>Peoples Gas System, Inc.</t>
  </si>
  <si>
    <t xml:space="preserve">Column (5) Reconciling Items </t>
  </si>
  <si>
    <t xml:space="preserve">Revised 2024 ADSR  - Corrected </t>
  </si>
  <si>
    <t>As filed in Account 391.01 - Computer Equipment</t>
  </si>
  <si>
    <t>Corrected  Account 391.01 - Computer Equipment</t>
  </si>
  <si>
    <t>MFR</t>
  </si>
  <si>
    <t>G-1, p 10</t>
  </si>
  <si>
    <t>G-1, p 12</t>
  </si>
  <si>
    <t>As filed in Account 391.02- Office Equipment</t>
  </si>
  <si>
    <t>Corrected  Account 391.02 - Office Equipment</t>
  </si>
  <si>
    <t>As filed in Account 392.05- Vehicles over 1 Ton</t>
  </si>
  <si>
    <t>Corrected Account 392.05- Vehicles over 1 Ton</t>
  </si>
  <si>
    <t>Correction information for accounts 391.00, 391.01, 391.02 and 392.05</t>
  </si>
  <si>
    <t>sum a</t>
  </si>
  <si>
    <t>sum c</t>
  </si>
  <si>
    <t>sum b</t>
  </si>
  <si>
    <t>sum d</t>
  </si>
  <si>
    <t>Office Furniture*</t>
  </si>
  <si>
    <t>Computer Equipment*</t>
  </si>
  <si>
    <t>Office Equipment Machines*</t>
  </si>
  <si>
    <t>Trucks over 1 Ton*</t>
  </si>
  <si>
    <t>* Accounts with change in 2024 proposed depreciation rates reulting in changes in 12/31/2024 book reserve balance.</t>
  </si>
  <si>
    <t>Structures and Improvements**</t>
  </si>
  <si>
    <t xml:space="preserve">** Accounts under FERC 390 are combined in with one depriation rate in Depreciation Study and reflected as such in table.   </t>
  </si>
  <si>
    <t>390XX</t>
  </si>
  <si>
    <t>DO NOT USE - Created for reference and check only</t>
  </si>
  <si>
    <t>Excl. $34 million</t>
  </si>
  <si>
    <t>Amortization*</t>
  </si>
  <si>
    <t>391.00</t>
  </si>
  <si>
    <t>391.01</t>
  </si>
  <si>
    <t>391.02</t>
  </si>
  <si>
    <t xml:space="preserve">Account </t>
  </si>
  <si>
    <t>Increase / (Decrease) Dep. Expense</t>
  </si>
  <si>
    <t>Increase / (Decrease) 13-month avg. Book Reserve</t>
  </si>
  <si>
    <t>Total</t>
  </si>
  <si>
    <t>Increase / (Decrease) 13-month avg. Net Rate Base</t>
  </si>
  <si>
    <t>392.05</t>
  </si>
  <si>
    <t>13-mo. Avg. Net Rate Base Increase / (Decrease)</t>
  </si>
  <si>
    <t>Staff's 4th Set Interrogatory No. 99 - page 1 of 9</t>
  </si>
  <si>
    <t>Staff's 4th Set Interrogatory No. 99 - page 2 of 9</t>
  </si>
  <si>
    <t>Staff's 4th Set Interrogatory No. 99 - page 3 of 9</t>
  </si>
  <si>
    <t>Staff's 4th Set Interrogatory No. 99 - page 4 of 9</t>
  </si>
  <si>
    <t>Staff's 4th Set Interrogatory No. 99 - page 5 of 9</t>
  </si>
  <si>
    <t>Staff's 4th Set Interrogatory No. 99 - page 6 of 9</t>
  </si>
  <si>
    <t>Staff's 4th Set Interrogatory No. 99 - page 8 of 9</t>
  </si>
  <si>
    <t>Staff's 4th Set Interrogatory No. 99 - page 9 of 9</t>
  </si>
  <si>
    <t>39401 - CNG Station Equipment (104)</t>
  </si>
  <si>
    <t xml:space="preserve">Staff's 4th Set Interrogatory No. 99 </t>
  </si>
  <si>
    <t>(page 7a of 9)</t>
  </si>
  <si>
    <t>(page 7b of 9)</t>
  </si>
  <si>
    <t>Corrected Reserve Allocation Tab</t>
  </si>
  <si>
    <t>Computation of Proposed Depreciation Amortization Rates</t>
  </si>
  <si>
    <t>Using Average Life Group Depreciation</t>
  </si>
  <si>
    <t>As of December 31, 2024</t>
  </si>
  <si>
    <t>Intangible Plant</t>
  </si>
  <si>
    <t>Misc Intangible Plant</t>
  </si>
  <si>
    <t>Custom Intangible Plant</t>
  </si>
  <si>
    <t>Distribution</t>
  </si>
  <si>
    <t>Distibution</t>
  </si>
  <si>
    <t>Structures &amp; Improvements</t>
  </si>
  <si>
    <t>Mains Steel</t>
  </si>
  <si>
    <t>Mains Plastic</t>
  </si>
  <si>
    <t>Meas &amp; Reg Station Eqp Gen</t>
  </si>
  <si>
    <t>Meas &amp; Reg Station Eqp City</t>
  </si>
  <si>
    <t>Services Steel</t>
  </si>
  <si>
    <t>Services Plastic</t>
  </si>
  <si>
    <t>House Regulators</t>
  </si>
  <si>
    <t>House Regulator Installs</t>
  </si>
  <si>
    <t>Meas &amp; Reg Station Eqp Ind</t>
  </si>
  <si>
    <t>Subtotal Distribution</t>
  </si>
  <si>
    <t>General</t>
  </si>
  <si>
    <t>General Plant</t>
  </si>
  <si>
    <t>Office Furniture</t>
  </si>
  <si>
    <t>Office Equipment</t>
  </si>
  <si>
    <t>Vehicles up to 1/2 Tons</t>
  </si>
  <si>
    <t>Vehicles from 1/2 - 1 Tons</t>
  </si>
  <si>
    <t>Trailers &amp; Other</t>
  </si>
  <si>
    <t>Vehicles over 1 Ton</t>
  </si>
  <si>
    <t>Stores Equipment</t>
  </si>
  <si>
    <t>Tools, Shop &amp; Garage Equip</t>
  </si>
  <si>
    <t>CNC Station Equipment</t>
  </si>
  <si>
    <t>Communication Equipment</t>
  </si>
  <si>
    <t>Miscellaneous Equipment</t>
  </si>
  <si>
    <t xml:space="preserve"> </t>
  </si>
  <si>
    <t>Subtotal General</t>
  </si>
  <si>
    <t>Renewable Natural Gas (RNG)</t>
  </si>
  <si>
    <t>Liquified Natural Gas (LNG)</t>
  </si>
  <si>
    <t>Total Depreciable Plant</t>
  </si>
  <si>
    <t>Organization</t>
  </si>
  <si>
    <t>PGS Acq Adj</t>
  </si>
  <si>
    <t>Futre Use</t>
  </si>
  <si>
    <t>Total PGS</t>
  </si>
  <si>
    <t>Total NOI</t>
  </si>
  <si>
    <t>Impact*</t>
  </si>
  <si>
    <t>As Filed Depreciation Expense in NOI</t>
  </si>
  <si>
    <t>Corrected Depreciation Expense in NOI</t>
  </si>
  <si>
    <t>*</t>
  </si>
  <si>
    <t xml:space="preserve">* Note: Due to Vehicle Depreciation Expense being charged through the transportation cost allocation to O&amp;M expense and capital expenditures, there is no direct impact on NOI as the O&amp;M reflected on MFR G-2, pages 12-19 did not directly reflect any changes in vehicle depreciation expense. </t>
  </si>
  <si>
    <t>ck</t>
  </si>
  <si>
    <t>Ck figures</t>
  </si>
  <si>
    <t>NOI</t>
  </si>
  <si>
    <t>ASR</t>
  </si>
  <si>
    <t>Peoples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</si>
</sst>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000_);\(#,##0.00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0">
    <xf numFmtId="0" fontId="0" fillId="0" borderId="0" xfId="0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2" fillId="0" borderId="0" xfId="0" applyFont="1"/>
    <xf numFmtId="0" fontId="0" fillId="0" borderId="3" xfId="0" quotePrefix="1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4" fillId="0" borderId="0" xfId="2"/>
    <xf numFmtId="43" fontId="0" fillId="0" borderId="0" xfId="3" applyFont="1" applyFill="1"/>
    <xf numFmtId="43" fontId="0" fillId="0" borderId="0" xfId="3" applyFont="1"/>
    <xf numFmtId="0" fontId="5" fillId="0" borderId="5" xfId="2" applyFont="1" applyBorder="1" applyAlignment="1">
      <alignment horizontal="center"/>
    </xf>
    <xf numFmtId="0" fontId="4" fillId="0" borderId="5" xfId="2" applyBorder="1" applyAlignment="1">
      <alignment horizontal="center"/>
    </xf>
    <xf numFmtId="43" fontId="5" fillId="0" borderId="5" xfId="3" applyFont="1" applyFill="1" applyBorder="1" applyAlignment="1">
      <alignment horizontal="center"/>
    </xf>
    <xf numFmtId="43" fontId="0" fillId="0" borderId="5" xfId="3" applyFont="1" applyBorder="1" applyAlignment="1">
      <alignment horizontal="center"/>
    </xf>
    <xf numFmtId="43" fontId="5" fillId="0" borderId="5" xfId="3" applyFont="1" applyBorder="1" applyAlignment="1">
      <alignment horizontal="center"/>
    </xf>
    <xf numFmtId="43" fontId="4" fillId="0" borderId="0" xfId="2" applyNumberFormat="1"/>
    <xf numFmtId="43" fontId="0" fillId="0" borderId="6" xfId="3" applyFont="1" applyBorder="1"/>
    <xf numFmtId="0" fontId="4" fillId="0" borderId="6" xfId="2" applyBorder="1"/>
    <xf numFmtId="43" fontId="0" fillId="0" borderId="6" xfId="3" applyFont="1" applyFill="1" applyBorder="1"/>
    <xf numFmtId="0" fontId="5" fillId="0" borderId="0" xfId="2" applyFont="1"/>
    <xf numFmtId="43" fontId="0" fillId="0" borderId="7" xfId="3" applyFont="1" applyBorder="1"/>
    <xf numFmtId="0" fontId="4" fillId="0" borderId="7" xfId="2" applyBorder="1"/>
    <xf numFmtId="43" fontId="0" fillId="0" borderId="7" xfId="3" applyFont="1" applyFill="1" applyBorder="1"/>
    <xf numFmtId="0" fontId="3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/>
    <xf numFmtId="0" fontId="7" fillId="0" borderId="0" xfId="2" applyFont="1"/>
    <xf numFmtId="0" fontId="8" fillId="0" borderId="0" xfId="2" applyFont="1" applyAlignment="1">
      <alignment horizontal="center"/>
    </xf>
    <xf numFmtId="0" fontId="8" fillId="0" borderId="0" xfId="2" applyFont="1"/>
    <xf numFmtId="0" fontId="8" fillId="0" borderId="0" xfId="2" quotePrefix="1" applyFont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5" xfId="2" quotePrefix="1" applyFont="1" applyBorder="1" applyAlignment="1">
      <alignment horizontal="left"/>
    </xf>
    <xf numFmtId="0" fontId="4" fillId="0" borderId="0" xfId="2" applyAlignment="1">
      <alignment horizontal="center"/>
    </xf>
    <xf numFmtId="0" fontId="4" fillId="0" borderId="0" xfId="2" applyAlignment="1">
      <alignment horizontal="left"/>
    </xf>
    <xf numFmtId="164" fontId="0" fillId="0" borderId="0" xfId="5" applyNumberFormat="1" applyFont="1" applyFill="1"/>
    <xf numFmtId="164" fontId="8" fillId="0" borderId="8" xfId="5" applyNumberFormat="1" applyFont="1" applyFill="1" applyBorder="1"/>
    <xf numFmtId="164" fontId="8" fillId="0" borderId="0" xfId="5" applyNumberFormat="1" applyFont="1" applyFill="1"/>
    <xf numFmtId="165" fontId="8" fillId="0" borderId="2" xfId="6" applyNumberFormat="1" applyFont="1" applyFill="1" applyBorder="1" applyAlignment="1">
      <alignment horizontal="center"/>
    </xf>
    <xf numFmtId="164" fontId="8" fillId="0" borderId="9" xfId="5" applyNumberFormat="1" applyFont="1" applyFill="1" applyBorder="1"/>
    <xf numFmtId="165" fontId="8" fillId="0" borderId="3" xfId="6" applyNumberFormat="1" applyFont="1" applyFill="1" applyBorder="1" applyAlignment="1">
      <alignment horizontal="center"/>
    </xf>
    <xf numFmtId="164" fontId="8" fillId="0" borderId="10" xfId="5" applyNumberFormat="1" applyFont="1" applyFill="1" applyBorder="1"/>
    <xf numFmtId="9" fontId="0" fillId="0" borderId="3" xfId="6" applyFont="1" applyFill="1" applyBorder="1" applyAlignment="1">
      <alignment horizontal="center"/>
    </xf>
    <xf numFmtId="0" fontId="8" fillId="0" borderId="0" xfId="5" applyNumberFormat="1" applyFont="1" applyFill="1" applyAlignment="1">
      <alignment horizontal="center"/>
    </xf>
    <xf numFmtId="0" fontId="0" fillId="0" borderId="0" xfId="5" applyNumberFormat="1" applyFont="1" applyFill="1"/>
    <xf numFmtId="164" fontId="8" fillId="0" borderId="7" xfId="5" applyNumberFormat="1" applyFont="1" applyFill="1" applyBorder="1"/>
    <xf numFmtId="9" fontId="4" fillId="0" borderId="4" xfId="2" applyNumberFormat="1" applyBorder="1"/>
    <xf numFmtId="164" fontId="8" fillId="0" borderId="0" xfId="5" applyNumberFormat="1" applyFont="1" applyFill="1" applyAlignment="1">
      <alignment horizontal="center"/>
    </xf>
    <xf numFmtId="43" fontId="8" fillId="0" borderId="0" xfId="5" applyFont="1" applyFill="1" applyAlignment="1">
      <alignment horizontal="left"/>
    </xf>
    <xf numFmtId="43" fontId="0" fillId="0" borderId="0" xfId="5" applyFont="1" applyFill="1"/>
    <xf numFmtId="43" fontId="9" fillId="0" borderId="0" xfId="5" applyFont="1" applyFill="1" applyAlignment="1">
      <alignment horizontal="left"/>
    </xf>
    <xf numFmtId="0" fontId="4" fillId="0" borderId="0" xfId="2" quotePrefix="1" applyAlignment="1">
      <alignment horizontal="left"/>
    </xf>
    <xf numFmtId="0" fontId="4" fillId="0" borderId="0" xfId="2" applyAlignment="1">
      <alignment horizontal="right"/>
    </xf>
    <xf numFmtId="43" fontId="8" fillId="0" borderId="0" xfId="5" applyFont="1" applyFill="1"/>
    <xf numFmtId="0" fontId="4" fillId="0" borderId="0" xfId="2" quotePrefix="1" applyAlignment="1">
      <alignment horizontal="right"/>
    </xf>
    <xf numFmtId="164" fontId="4" fillId="0" borderId="0" xfId="2" applyNumberFormat="1"/>
    <xf numFmtId="14" fontId="0" fillId="0" borderId="0" xfId="0" applyNumberFormat="1" applyAlignment="1">
      <alignment horizontal="center"/>
    </xf>
    <xf numFmtId="14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164" fontId="1" fillId="0" borderId="5" xfId="1" applyNumberFormat="1" applyFont="1" applyBorder="1"/>
    <xf numFmtId="164" fontId="0" fillId="0" borderId="5" xfId="0" applyNumberFormat="1" applyBorder="1"/>
    <xf numFmtId="165" fontId="0" fillId="0" borderId="0" xfId="0" applyNumberFormat="1"/>
    <xf numFmtId="164" fontId="0" fillId="0" borderId="5" xfId="1" applyNumberFormat="1" applyFont="1" applyBorder="1"/>
    <xf numFmtId="0" fontId="10" fillId="0" borderId="0" xfId="0" applyFont="1"/>
    <xf numFmtId="37" fontId="10" fillId="0" borderId="0" xfId="0" applyNumberFormat="1" applyFont="1" applyAlignment="1">
      <alignment horizontal="center"/>
    </xf>
    <xf numFmtId="0" fontId="10" fillId="0" borderId="5" xfId="0" applyFont="1" applyBorder="1" applyAlignment="1">
      <alignment horizontal="left"/>
    </xf>
    <xf numFmtId="37" fontId="10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37" fontId="10" fillId="0" borderId="0" xfId="0" applyNumberFormat="1" applyFont="1" applyAlignment="1">
      <alignment horizontal="left"/>
    </xf>
    <xf numFmtId="37" fontId="10" fillId="0" borderId="0" xfId="0" applyNumberFormat="1" applyFont="1"/>
    <xf numFmtId="37" fontId="10" fillId="0" borderId="0" xfId="0" applyNumberFormat="1" applyFont="1" applyAlignment="1">
      <alignment horizontal="fill"/>
    </xf>
    <xf numFmtId="5" fontId="10" fillId="0" borderId="0" xfId="0" applyNumberFormat="1" applyFont="1"/>
    <xf numFmtId="10" fontId="10" fillId="0" borderId="0" xfId="4" applyNumberFormat="1" applyFont="1" applyProtection="1"/>
    <xf numFmtId="0" fontId="10" fillId="0" borderId="0" xfId="0" applyFont="1" applyAlignment="1">
      <alignment horizontal="left"/>
    </xf>
    <xf numFmtId="37" fontId="10" fillId="0" borderId="5" xfId="0" applyNumberFormat="1" applyFont="1" applyBorder="1"/>
    <xf numFmtId="166" fontId="10" fillId="0" borderId="5" xfId="0" applyNumberFormat="1" applyFont="1" applyBorder="1"/>
    <xf numFmtId="5" fontId="10" fillId="0" borderId="11" xfId="0" applyNumberFormat="1" applyFont="1" applyBorder="1"/>
    <xf numFmtId="0" fontId="0" fillId="0" borderId="0" xfId="0" applyAlignment="1">
      <alignment horizontal="right"/>
    </xf>
    <xf numFmtId="5" fontId="0" fillId="0" borderId="0" xfId="0" applyNumberForma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0" fontId="0" fillId="0" borderId="0" xfId="4" applyNumberFormat="1" applyFont="1"/>
    <xf numFmtId="0" fontId="0" fillId="0" borderId="12" xfId="0" applyBorder="1"/>
    <xf numFmtId="165" fontId="0" fillId="0" borderId="12" xfId="0" applyNumberFormat="1" applyBorder="1"/>
    <xf numFmtId="164" fontId="0" fillId="2" borderId="1" xfId="1" applyNumberFormat="1" applyFont="1" applyFill="1" applyBorder="1"/>
    <xf numFmtId="0" fontId="2" fillId="0" borderId="1" xfId="0" applyFont="1" applyBorder="1"/>
    <xf numFmtId="0" fontId="0" fillId="0" borderId="1" xfId="0" applyBorder="1" applyAlignment="1">
      <alignment horizontal="right" wrapText="1"/>
    </xf>
    <xf numFmtId="165" fontId="8" fillId="0" borderId="0" xfId="6" applyNumberFormat="1" applyFont="1" applyAlignment="1">
      <alignment horizontal="center"/>
    </xf>
    <xf numFmtId="164" fontId="0" fillId="0" borderId="1" xfId="1" applyNumberFormat="1" applyFont="1" applyFill="1" applyBorder="1"/>
    <xf numFmtId="0" fontId="12" fillId="0" borderId="0" xfId="2" applyFont="1"/>
    <xf numFmtId="0" fontId="0" fillId="0" borderId="0" xfId="0" quotePrefix="1" applyAlignment="1">
      <alignment horizontal="center"/>
    </xf>
    <xf numFmtId="0" fontId="4" fillId="0" borderId="0" xfId="2" quotePrefix="1"/>
    <xf numFmtId="43" fontId="0" fillId="0" borderId="0" xfId="5" applyFont="1"/>
    <xf numFmtId="0" fontId="4" fillId="0" borderId="5" xfId="0" applyFont="1" applyBorder="1" applyAlignment="1">
      <alignment horizontal="center"/>
    </xf>
    <xf numFmtId="43" fontId="4" fillId="0" borderId="5" xfId="5" applyFont="1" applyFill="1" applyBorder="1" applyAlignment="1">
      <alignment horizontal="center"/>
    </xf>
    <xf numFmtId="43" fontId="0" fillId="0" borderId="5" xfId="5" applyFont="1" applyBorder="1" applyAlignment="1">
      <alignment horizontal="center"/>
    </xf>
    <xf numFmtId="43" fontId="4" fillId="0" borderId="5" xfId="5" applyFont="1" applyBorder="1" applyAlignment="1">
      <alignment horizontal="center"/>
    </xf>
    <xf numFmtId="43" fontId="0" fillId="0" borderId="0" xfId="0" applyNumberFormat="1"/>
    <xf numFmtId="43" fontId="0" fillId="0" borderId="6" xfId="5" applyFont="1" applyBorder="1"/>
    <xf numFmtId="0" fontId="0" fillId="0" borderId="6" xfId="0" applyBorder="1"/>
    <xf numFmtId="43" fontId="0" fillId="0" borderId="6" xfId="5" applyFont="1" applyFill="1" applyBorder="1"/>
    <xf numFmtId="0" fontId="4" fillId="0" borderId="0" xfId="0" applyFont="1"/>
    <xf numFmtId="43" fontId="0" fillId="0" borderId="7" xfId="5" applyFont="1" applyBorder="1"/>
    <xf numFmtId="0" fontId="0" fillId="0" borderId="7" xfId="0" applyBorder="1"/>
    <xf numFmtId="43" fontId="0" fillId="0" borderId="7" xfId="5" applyFont="1" applyFill="1" applyBorder="1"/>
    <xf numFmtId="43" fontId="8" fillId="0" borderId="7" xfId="5" applyFont="1" applyBorder="1"/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4" fillId="0" borderId="0" xfId="2" applyAlignment="1">
      <alignment horizontal="left" vertical="top" wrapText="1"/>
    </xf>
  </cellXfs>
  <cellStyles count="7">
    <cellStyle name="Comma" xfId="1" builtinId="3"/>
    <cellStyle name="Comma 2" xfId="3" xr:uid="{16F1EBD0-C3B4-46EB-BE2A-ED960D10D339}"/>
    <cellStyle name="Comma 3" xfId="5" xr:uid="{18DE80E3-5D80-4BD9-85A5-7CCF68F98EA1}"/>
    <cellStyle name="Normal" xfId="0" builtinId="0"/>
    <cellStyle name="Normal 2" xfId="2" xr:uid="{000A553A-B36C-40BE-BC7A-8A83E7708E91}"/>
    <cellStyle name="Percent" xfId="4" builtinId="5"/>
    <cellStyle name="Percent 2" xfId="6" xr:uid="{2F2C4291-E6EE-4B3E-9FBD-4201C8B092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27</xdr:row>
      <xdr:rowOff>85725</xdr:rowOff>
    </xdr:from>
    <xdr:to>
      <xdr:col>7</xdr:col>
      <xdr:colOff>419100</xdr:colOff>
      <xdr:row>28</xdr:row>
      <xdr:rowOff>180975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B38ABDE-1A25-8075-84BE-07BAF7773245}"/>
            </a:ext>
          </a:extLst>
        </xdr:cNvPr>
        <xdr:cNvCxnSpPr/>
      </xdr:nvCxnSpPr>
      <xdr:spPr>
        <a:xfrm>
          <a:off x="8229600" y="5229225"/>
          <a:ext cx="0" cy="2857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22</xdr:row>
      <xdr:rowOff>9525</xdr:rowOff>
    </xdr:from>
    <xdr:to>
      <xdr:col>5</xdr:col>
      <xdr:colOff>504825</xdr:colOff>
      <xdr:row>23</xdr:row>
      <xdr:rowOff>133350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B0856386-4288-48FB-B65A-314540558281}"/>
            </a:ext>
          </a:extLst>
        </xdr:cNvPr>
        <xdr:cNvCxnSpPr/>
      </xdr:nvCxnSpPr>
      <xdr:spPr>
        <a:xfrm>
          <a:off x="4200525" y="4210050"/>
          <a:ext cx="55245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1085850</xdr:colOff>
      <xdr:row>22</xdr:row>
      <xdr:rowOff>57150</xdr:rowOff>
    </xdr:from>
    <xdr:to>
      <xdr:col>7</xdr:col>
      <xdr:colOff>314325</xdr:colOff>
      <xdr:row>23</xdr:row>
      <xdr:rowOff>142875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F6990BF-612C-42D6-9F5C-F3662D266F6E}"/>
            </a:ext>
          </a:extLst>
        </xdr:cNvPr>
        <xdr:cNvCxnSpPr/>
      </xdr:nvCxnSpPr>
      <xdr:spPr>
        <a:xfrm flipH="1">
          <a:off x="5334000" y="4257675"/>
          <a:ext cx="561975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154943</xdr:colOff>
      <xdr:row>7</xdr:row>
      <xdr:rowOff>96044</xdr:rowOff>
    </xdr:from>
    <xdr:to>
      <xdr:col>22</xdr:col>
      <xdr:colOff>542924</xdr:colOff>
      <xdr:row>36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9AD4A1-90D7-32F5-8C9B-8B505DAA6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7168" y="1239044"/>
          <a:ext cx="7093581" cy="54475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5BF06-E924-4640-ACF1-BF8C5974FB68}">
  <sheetPr>
    <pageSetUpPr fitToPage="1"/>
  </sheetPr>
  <dimension ref="A1:G38"/>
  <sheetViews>
    <sheetView workbookViewId="0">
      <selection activeCell="F4" sqref="F4"/>
    </sheetView>
  </sheetViews>
  <sheetFormatPr defaultRowHeight="15" x14ac:dyDescent="0.25"/>
  <cols>
    <col min="2" max="2" width="36.28515625" customWidth="1"/>
    <col min="3" max="5" width="14.140625" customWidth="1"/>
    <col min="6" max="6" width="14.42578125" customWidth="1"/>
    <col min="7" max="7" width="47.5703125" customWidth="1"/>
  </cols>
  <sheetData>
    <row r="1" spans="1:7" x14ac:dyDescent="0.25">
      <c r="A1" s="6" t="s">
        <v>184</v>
      </c>
    </row>
    <row r="2" spans="1:7" x14ac:dyDescent="0.25">
      <c r="A2" s="6" t="s">
        <v>185</v>
      </c>
    </row>
    <row r="3" spans="1:7" x14ac:dyDescent="0.25">
      <c r="A3" s="6" t="s">
        <v>222</v>
      </c>
    </row>
    <row r="5" spans="1:7" x14ac:dyDescent="0.25">
      <c r="A5" s="11"/>
      <c r="B5" s="11"/>
      <c r="C5" s="2" t="s">
        <v>34</v>
      </c>
      <c r="D5" s="2" t="s">
        <v>34</v>
      </c>
      <c r="E5" s="2">
        <v>2024</v>
      </c>
      <c r="F5" s="2" t="s">
        <v>40</v>
      </c>
      <c r="G5" s="2"/>
    </row>
    <row r="6" spans="1:7" x14ac:dyDescent="0.25">
      <c r="A6" s="3" t="s">
        <v>0</v>
      </c>
      <c r="B6" s="13"/>
      <c r="C6" s="3" t="s">
        <v>35</v>
      </c>
      <c r="D6" s="3" t="s">
        <v>36</v>
      </c>
      <c r="E6" s="3" t="s">
        <v>39</v>
      </c>
      <c r="F6" s="3"/>
      <c r="G6" s="3"/>
    </row>
    <row r="7" spans="1:7" x14ac:dyDescent="0.25">
      <c r="A7" s="3" t="s">
        <v>48</v>
      </c>
      <c r="B7" s="3" t="s">
        <v>1</v>
      </c>
      <c r="C7" s="3" t="s">
        <v>31</v>
      </c>
      <c r="D7" s="3" t="s">
        <v>31</v>
      </c>
      <c r="E7" s="3" t="s">
        <v>31</v>
      </c>
      <c r="F7" s="5" t="s">
        <v>44</v>
      </c>
      <c r="G7" s="7" t="s">
        <v>50</v>
      </c>
    </row>
    <row r="8" spans="1:7" x14ac:dyDescent="0.25">
      <c r="A8" s="12"/>
      <c r="B8" s="12"/>
      <c r="C8" s="4" t="s">
        <v>32</v>
      </c>
      <c r="D8" s="4" t="s">
        <v>37</v>
      </c>
      <c r="E8" s="4" t="s">
        <v>41</v>
      </c>
      <c r="F8" s="4" t="s">
        <v>45</v>
      </c>
      <c r="G8" s="4"/>
    </row>
    <row r="9" spans="1:7" x14ac:dyDescent="0.25">
      <c r="A9" s="8">
        <v>33600</v>
      </c>
      <c r="B9" s="8" t="s">
        <v>2</v>
      </c>
      <c r="C9" s="9">
        <v>1063199</v>
      </c>
      <c r="D9" s="9"/>
      <c r="E9" s="9">
        <v>1063199</v>
      </c>
      <c r="F9" s="10">
        <f t="shared" ref="F9:F38" si="0">+C9+D9-E9</f>
        <v>0</v>
      </c>
      <c r="G9" s="8"/>
    </row>
    <row r="10" spans="1:7" x14ac:dyDescent="0.25">
      <c r="A10" s="8">
        <v>33601</v>
      </c>
      <c r="B10" s="8" t="s">
        <v>3</v>
      </c>
      <c r="C10" s="9">
        <v>4351568</v>
      </c>
      <c r="D10" s="9"/>
      <c r="E10" s="9">
        <v>4351568</v>
      </c>
      <c r="F10" s="10">
        <f t="shared" si="0"/>
        <v>0</v>
      </c>
      <c r="G10" s="14" t="s">
        <v>51</v>
      </c>
    </row>
    <row r="11" spans="1:7" x14ac:dyDescent="0.25">
      <c r="A11" s="8">
        <v>36400</v>
      </c>
      <c r="B11" s="8" t="s">
        <v>4</v>
      </c>
      <c r="C11" s="9">
        <v>78084</v>
      </c>
      <c r="D11" s="9"/>
      <c r="E11" s="9">
        <v>78084</v>
      </c>
      <c r="F11" s="10">
        <f t="shared" si="0"/>
        <v>0</v>
      </c>
      <c r="G11" s="14" t="s">
        <v>52</v>
      </c>
    </row>
    <row r="12" spans="1:7" x14ac:dyDescent="0.25">
      <c r="A12" s="8">
        <v>37400</v>
      </c>
      <c r="B12" s="8" t="s">
        <v>5</v>
      </c>
      <c r="C12" s="9">
        <v>-60225</v>
      </c>
      <c r="D12" s="9"/>
      <c r="E12" s="9">
        <v>-60225</v>
      </c>
      <c r="F12" s="10">
        <f t="shared" si="0"/>
        <v>0</v>
      </c>
      <c r="G12" s="8"/>
    </row>
    <row r="13" spans="1:7" x14ac:dyDescent="0.25">
      <c r="A13" s="8">
        <v>37402</v>
      </c>
      <c r="B13" s="8" t="s">
        <v>6</v>
      </c>
      <c r="C13" s="9"/>
      <c r="D13" s="9">
        <v>1150125</v>
      </c>
      <c r="E13" s="9">
        <v>1150125</v>
      </c>
      <c r="F13" s="10">
        <f t="shared" si="0"/>
        <v>0</v>
      </c>
      <c r="G13" s="14" t="s">
        <v>49</v>
      </c>
    </row>
    <row r="14" spans="1:7" x14ac:dyDescent="0.25">
      <c r="A14" s="8">
        <v>37500</v>
      </c>
      <c r="B14" s="8" t="s">
        <v>7</v>
      </c>
      <c r="C14" s="9">
        <v>8870302</v>
      </c>
      <c r="D14" s="9"/>
      <c r="E14" s="9">
        <v>8870302</v>
      </c>
      <c r="F14" s="10">
        <f t="shared" si="0"/>
        <v>0</v>
      </c>
      <c r="G14" s="8"/>
    </row>
    <row r="15" spans="1:7" x14ac:dyDescent="0.25">
      <c r="A15" s="8">
        <v>37600</v>
      </c>
      <c r="B15" s="8" t="s">
        <v>8</v>
      </c>
      <c r="C15" s="9">
        <v>221233588</v>
      </c>
      <c r="D15" s="9"/>
      <c r="E15" s="9">
        <v>221233588</v>
      </c>
      <c r="F15" s="10">
        <f t="shared" si="0"/>
        <v>0</v>
      </c>
      <c r="G15" s="8"/>
    </row>
    <row r="16" spans="1:7" x14ac:dyDescent="0.25">
      <c r="A16" s="8">
        <v>37602</v>
      </c>
      <c r="B16" s="8" t="s">
        <v>9</v>
      </c>
      <c r="C16" s="9">
        <v>213121529</v>
      </c>
      <c r="D16" s="9"/>
      <c r="E16" s="9">
        <v>213121529</v>
      </c>
      <c r="F16" s="10">
        <f t="shared" si="0"/>
        <v>0</v>
      </c>
      <c r="G16" s="8"/>
    </row>
    <row r="17" spans="1:7" x14ac:dyDescent="0.25">
      <c r="A17" s="8">
        <v>37700</v>
      </c>
      <c r="B17" s="8" t="s">
        <v>10</v>
      </c>
      <c r="C17" s="9">
        <v>1921393</v>
      </c>
      <c r="D17" s="9"/>
      <c r="E17" s="9">
        <v>1921393</v>
      </c>
      <c r="F17" s="10">
        <f t="shared" si="0"/>
        <v>0</v>
      </c>
      <c r="G17" s="8"/>
    </row>
    <row r="18" spans="1:7" x14ac:dyDescent="0.25">
      <c r="A18" s="8">
        <v>37800</v>
      </c>
      <c r="B18" s="8" t="s">
        <v>11</v>
      </c>
      <c r="C18" s="9">
        <v>6423569</v>
      </c>
      <c r="D18" s="9"/>
      <c r="E18" s="9">
        <v>6423569</v>
      </c>
      <c r="F18" s="10">
        <f t="shared" si="0"/>
        <v>0</v>
      </c>
      <c r="G18" s="8"/>
    </row>
    <row r="19" spans="1:7" x14ac:dyDescent="0.25">
      <c r="A19" s="8">
        <v>37900</v>
      </c>
      <c r="B19" s="8" t="s">
        <v>12</v>
      </c>
      <c r="C19" s="9">
        <v>21492591</v>
      </c>
      <c r="D19" s="9"/>
      <c r="E19" s="9">
        <v>21492591</v>
      </c>
      <c r="F19" s="10">
        <f t="shared" si="0"/>
        <v>0</v>
      </c>
      <c r="G19" s="8"/>
    </row>
    <row r="20" spans="1:7" x14ac:dyDescent="0.25">
      <c r="A20" s="8">
        <v>38000</v>
      </c>
      <c r="B20" s="8" t="s">
        <v>13</v>
      </c>
      <c r="C20" s="9">
        <v>45369272</v>
      </c>
      <c r="D20" s="9"/>
      <c r="E20" s="9">
        <v>45369272</v>
      </c>
      <c r="F20" s="10">
        <f t="shared" si="0"/>
        <v>0</v>
      </c>
      <c r="G20" s="8"/>
    </row>
    <row r="21" spans="1:7" x14ac:dyDescent="0.25">
      <c r="A21" s="8">
        <v>38002</v>
      </c>
      <c r="B21" s="8" t="s">
        <v>14</v>
      </c>
      <c r="C21" s="9">
        <v>221130216</v>
      </c>
      <c r="D21" s="9"/>
      <c r="E21" s="9">
        <v>221130216</v>
      </c>
      <c r="F21" s="10">
        <f t="shared" si="0"/>
        <v>0</v>
      </c>
      <c r="G21" s="8"/>
    </row>
    <row r="22" spans="1:7" x14ac:dyDescent="0.25">
      <c r="A22" s="8">
        <v>38100</v>
      </c>
      <c r="B22" s="8" t="s">
        <v>15</v>
      </c>
      <c r="C22" s="9">
        <v>45724877</v>
      </c>
      <c r="D22" s="9"/>
      <c r="E22" s="9">
        <v>45724877</v>
      </c>
      <c r="F22" s="10">
        <f t="shared" si="0"/>
        <v>0</v>
      </c>
      <c r="G22" s="8"/>
    </row>
    <row r="23" spans="1:7" x14ac:dyDescent="0.25">
      <c r="A23" s="8">
        <v>38200</v>
      </c>
      <c r="B23" s="8" t="s">
        <v>16</v>
      </c>
      <c r="C23" s="9">
        <v>39220335</v>
      </c>
      <c r="D23" s="9"/>
      <c r="E23" s="9">
        <v>39220335</v>
      </c>
      <c r="F23" s="10">
        <f t="shared" si="0"/>
        <v>0</v>
      </c>
      <c r="G23" s="8"/>
    </row>
    <row r="24" spans="1:7" x14ac:dyDescent="0.25">
      <c r="A24" s="8">
        <v>38300</v>
      </c>
      <c r="B24" s="8" t="s">
        <v>17</v>
      </c>
      <c r="C24" s="9">
        <v>9756397</v>
      </c>
      <c r="D24" s="9"/>
      <c r="E24" s="9">
        <v>9756397</v>
      </c>
      <c r="F24" s="10">
        <f t="shared" si="0"/>
        <v>0</v>
      </c>
      <c r="G24" s="8"/>
    </row>
    <row r="25" spans="1:7" x14ac:dyDescent="0.25">
      <c r="A25" s="8">
        <v>38400</v>
      </c>
      <c r="B25" s="8" t="s">
        <v>18</v>
      </c>
      <c r="C25" s="9">
        <v>17117052</v>
      </c>
      <c r="D25" s="9"/>
      <c r="E25" s="9">
        <v>17117052</v>
      </c>
      <c r="F25" s="10">
        <f t="shared" si="0"/>
        <v>0</v>
      </c>
      <c r="G25" s="8"/>
    </row>
    <row r="26" spans="1:7" x14ac:dyDescent="0.25">
      <c r="A26" s="8">
        <v>38500</v>
      </c>
      <c r="B26" s="8" t="s">
        <v>19</v>
      </c>
      <c r="C26" s="9">
        <v>7665448</v>
      </c>
      <c r="D26" s="9"/>
      <c r="E26" s="9">
        <v>7665448</v>
      </c>
      <c r="F26" s="10">
        <f t="shared" si="0"/>
        <v>0</v>
      </c>
      <c r="G26" s="8"/>
    </row>
    <row r="27" spans="1:7" x14ac:dyDescent="0.25">
      <c r="A27" s="8">
        <v>38700</v>
      </c>
      <c r="B27" s="8" t="s">
        <v>20</v>
      </c>
      <c r="C27" s="9">
        <v>6236109</v>
      </c>
      <c r="D27" s="9"/>
      <c r="E27" s="9">
        <v>6236109</v>
      </c>
      <c r="F27" s="10">
        <f t="shared" si="0"/>
        <v>0</v>
      </c>
      <c r="G27" s="8"/>
    </row>
    <row r="28" spans="1:7" x14ac:dyDescent="0.25">
      <c r="A28" s="8">
        <v>39000</v>
      </c>
      <c r="B28" s="8" t="s">
        <v>7</v>
      </c>
      <c r="C28" s="9">
        <v>3392</v>
      </c>
      <c r="D28" s="9"/>
      <c r="E28" s="9">
        <v>3392</v>
      </c>
      <c r="F28" s="10">
        <f t="shared" si="0"/>
        <v>0</v>
      </c>
      <c r="G28" s="8"/>
    </row>
    <row r="29" spans="1:7" x14ac:dyDescent="0.25">
      <c r="A29" s="8">
        <v>39002</v>
      </c>
      <c r="B29" s="32" t="s">
        <v>21</v>
      </c>
      <c r="C29" s="9"/>
      <c r="D29" s="9">
        <v>42176</v>
      </c>
      <c r="E29" s="9">
        <v>42176</v>
      </c>
      <c r="F29" s="10">
        <f t="shared" si="0"/>
        <v>0</v>
      </c>
      <c r="G29" s="14" t="s">
        <v>49</v>
      </c>
    </row>
    <row r="30" spans="1:7" x14ac:dyDescent="0.25">
      <c r="A30" s="8">
        <v>39101</v>
      </c>
      <c r="B30" s="8" t="s">
        <v>22</v>
      </c>
      <c r="C30" s="9">
        <v>3930307</v>
      </c>
      <c r="D30" s="9"/>
      <c r="E30" s="9">
        <v>3930307</v>
      </c>
      <c r="F30" s="10">
        <f t="shared" si="0"/>
        <v>0</v>
      </c>
      <c r="G30" s="8"/>
    </row>
    <row r="31" spans="1:7" x14ac:dyDescent="0.25">
      <c r="A31" s="8">
        <v>39102</v>
      </c>
      <c r="B31" s="8" t="s">
        <v>23</v>
      </c>
      <c r="C31" s="9">
        <v>1060119</v>
      </c>
      <c r="D31" s="9"/>
      <c r="E31" s="9">
        <v>1060119</v>
      </c>
      <c r="F31" s="10">
        <f t="shared" si="0"/>
        <v>0</v>
      </c>
      <c r="G31" s="8"/>
    </row>
    <row r="32" spans="1:7" x14ac:dyDescent="0.25">
      <c r="A32" s="8">
        <v>39201</v>
      </c>
      <c r="B32" s="8" t="s">
        <v>24</v>
      </c>
      <c r="C32" s="9">
        <v>8108219</v>
      </c>
      <c r="D32" s="9"/>
      <c r="E32" s="9">
        <v>8108219</v>
      </c>
      <c r="F32" s="10">
        <f t="shared" si="0"/>
        <v>0</v>
      </c>
      <c r="G32" s="8"/>
    </row>
    <row r="33" spans="1:7" x14ac:dyDescent="0.25">
      <c r="A33" s="8">
        <v>39202</v>
      </c>
      <c r="B33" s="8" t="s">
        <v>25</v>
      </c>
      <c r="C33" s="9">
        <v>9617268</v>
      </c>
      <c r="D33" s="9"/>
      <c r="E33" s="9">
        <v>9617268</v>
      </c>
      <c r="F33" s="10">
        <f t="shared" si="0"/>
        <v>0</v>
      </c>
      <c r="G33" s="8"/>
    </row>
    <row r="34" spans="1:7" x14ac:dyDescent="0.25">
      <c r="A34" s="8">
        <v>39205</v>
      </c>
      <c r="B34" s="8" t="s">
        <v>26</v>
      </c>
      <c r="C34" s="9">
        <v>1410924</v>
      </c>
      <c r="D34" s="9"/>
      <c r="E34" s="9">
        <v>1410924</v>
      </c>
      <c r="F34" s="10">
        <f t="shared" si="0"/>
        <v>0</v>
      </c>
      <c r="G34" s="8"/>
    </row>
    <row r="35" spans="1:7" x14ac:dyDescent="0.25">
      <c r="A35" s="8">
        <v>39400</v>
      </c>
      <c r="B35" s="8" t="s">
        <v>30</v>
      </c>
      <c r="C35" s="9">
        <v>4792331</v>
      </c>
      <c r="D35" s="9"/>
      <c r="E35" s="9">
        <v>4792331</v>
      </c>
      <c r="F35" s="10">
        <f t="shared" si="0"/>
        <v>0</v>
      </c>
      <c r="G35" s="8"/>
    </row>
    <row r="36" spans="1:7" ht="45" x14ac:dyDescent="0.25">
      <c r="A36" s="8">
        <v>39401</v>
      </c>
      <c r="B36" s="8" t="s">
        <v>27</v>
      </c>
      <c r="C36" s="9">
        <v>960600</v>
      </c>
      <c r="D36" s="9"/>
      <c r="E36" s="9">
        <f>47990+912610</f>
        <v>960600</v>
      </c>
      <c r="F36" s="10">
        <f t="shared" si="0"/>
        <v>0</v>
      </c>
      <c r="G36" s="15" t="s">
        <v>53</v>
      </c>
    </row>
    <row r="37" spans="1:7" x14ac:dyDescent="0.25">
      <c r="A37" s="8">
        <v>39600</v>
      </c>
      <c r="B37" s="8" t="s">
        <v>28</v>
      </c>
      <c r="C37" s="9">
        <v>2164798</v>
      </c>
      <c r="D37" s="9"/>
      <c r="E37" s="9">
        <v>2164798</v>
      </c>
      <c r="F37" s="10">
        <f t="shared" si="0"/>
        <v>0</v>
      </c>
      <c r="G37" s="8"/>
    </row>
    <row r="38" spans="1:7" x14ac:dyDescent="0.25">
      <c r="A38" s="8">
        <v>39800</v>
      </c>
      <c r="B38" s="8" t="s">
        <v>29</v>
      </c>
      <c r="C38" s="9">
        <v>234465</v>
      </c>
      <c r="D38" s="9"/>
      <c r="E38" s="9">
        <v>234465</v>
      </c>
      <c r="F38" s="10">
        <f t="shared" si="0"/>
        <v>0</v>
      </c>
      <c r="G38" s="8"/>
    </row>
  </sheetData>
  <pageMargins left="0.7" right="0.7" top="0.75" bottom="0.75" header="0.3" footer="0.3"/>
  <pageSetup scale="82" orientation="landscape" horizontalDpi="90" verticalDpi="90" r:id="rId1"/>
  <customProperties>
    <customPr name="EpmWorksheetKeyString_GUID" r:id="rId2"/>
  </customProperties>
  <ignoredErrors>
    <ignoredError sqref="C8 E8 F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D6AD5-9DAA-4C5A-9D8D-B8C3EE140BEB}">
  <sheetPr>
    <pageSetUpPr fitToPage="1"/>
  </sheetPr>
  <dimension ref="A1:H42"/>
  <sheetViews>
    <sheetView workbookViewId="0">
      <selection activeCell="F4" sqref="F4"/>
    </sheetView>
  </sheetViews>
  <sheetFormatPr defaultRowHeight="15" x14ac:dyDescent="0.25"/>
  <cols>
    <col min="2" max="2" width="36.28515625" customWidth="1"/>
    <col min="3" max="5" width="14.140625" customWidth="1"/>
    <col min="6" max="6" width="14.42578125" customWidth="1"/>
    <col min="7" max="8" width="14.85546875" customWidth="1"/>
  </cols>
  <sheetData>
    <row r="1" spans="1:8" x14ac:dyDescent="0.25">
      <c r="A1" s="6" t="s">
        <v>184</v>
      </c>
    </row>
    <row r="2" spans="1:8" x14ac:dyDescent="0.25">
      <c r="A2" s="6" t="s">
        <v>54</v>
      </c>
    </row>
    <row r="3" spans="1:8" x14ac:dyDescent="0.25">
      <c r="A3" s="6" t="s">
        <v>223</v>
      </c>
    </row>
    <row r="5" spans="1:8" x14ac:dyDescent="0.25">
      <c r="A5" s="11"/>
      <c r="B5" s="11"/>
      <c r="C5" s="2" t="s">
        <v>34</v>
      </c>
      <c r="D5" s="2" t="s">
        <v>34</v>
      </c>
      <c r="E5" s="2">
        <v>2024</v>
      </c>
      <c r="F5" s="2" t="s">
        <v>40</v>
      </c>
      <c r="G5" s="2" t="s">
        <v>61</v>
      </c>
      <c r="H5" s="2" t="s">
        <v>65</v>
      </c>
    </row>
    <row r="6" spans="1:8" x14ac:dyDescent="0.25">
      <c r="A6" s="3" t="s">
        <v>0</v>
      </c>
      <c r="B6" s="13"/>
      <c r="C6" s="3" t="s">
        <v>35</v>
      </c>
      <c r="D6" s="3" t="s">
        <v>36</v>
      </c>
      <c r="E6" s="3" t="s">
        <v>33</v>
      </c>
      <c r="F6" s="3"/>
      <c r="G6" s="3" t="s">
        <v>62</v>
      </c>
      <c r="H6" s="3" t="s">
        <v>68</v>
      </c>
    </row>
    <row r="7" spans="1:8" x14ac:dyDescent="0.25">
      <c r="A7" s="3" t="s">
        <v>48</v>
      </c>
      <c r="B7" s="3" t="s">
        <v>1</v>
      </c>
      <c r="C7" s="3" t="s">
        <v>31</v>
      </c>
      <c r="D7" s="3" t="s">
        <v>31</v>
      </c>
      <c r="E7" s="3" t="s">
        <v>31</v>
      </c>
      <c r="F7" s="5" t="s">
        <v>42</v>
      </c>
      <c r="G7" s="3" t="s">
        <v>211</v>
      </c>
      <c r="H7" s="3" t="s">
        <v>67</v>
      </c>
    </row>
    <row r="8" spans="1:8" x14ac:dyDescent="0.25">
      <c r="A8" s="12"/>
      <c r="B8" s="12"/>
      <c r="C8" s="4" t="s">
        <v>32</v>
      </c>
      <c r="D8" s="4" t="s">
        <v>37</v>
      </c>
      <c r="E8" s="4" t="s">
        <v>38</v>
      </c>
      <c r="F8" s="4" t="s">
        <v>43</v>
      </c>
      <c r="G8" s="4" t="s">
        <v>64</v>
      </c>
      <c r="H8" s="4" t="s">
        <v>66</v>
      </c>
    </row>
    <row r="9" spans="1:8" x14ac:dyDescent="0.25">
      <c r="A9" s="8">
        <v>33600</v>
      </c>
      <c r="B9" s="8" t="s">
        <v>2</v>
      </c>
      <c r="C9" s="9">
        <v>1063199</v>
      </c>
      <c r="D9" s="9"/>
      <c r="E9" s="9">
        <v>1079309</v>
      </c>
      <c r="F9" s="10">
        <f>+C9+D9-E9</f>
        <v>-16110</v>
      </c>
      <c r="G9" s="9"/>
      <c r="H9" s="9">
        <f>+F9+G9</f>
        <v>-16110</v>
      </c>
    </row>
    <row r="10" spans="1:8" x14ac:dyDescent="0.25">
      <c r="A10" s="8">
        <v>33601</v>
      </c>
      <c r="B10" s="8" t="s">
        <v>3</v>
      </c>
      <c r="C10" s="9">
        <v>4351568</v>
      </c>
      <c r="D10" s="9"/>
      <c r="E10" s="9">
        <v>4351568</v>
      </c>
      <c r="F10" s="10">
        <f t="shared" ref="F10:F38" si="0">+C10+D10-E10</f>
        <v>0</v>
      </c>
      <c r="G10" s="9"/>
      <c r="H10" s="9">
        <f t="shared" ref="H10:H38" si="1">+F10+G10</f>
        <v>0</v>
      </c>
    </row>
    <row r="11" spans="1:8" x14ac:dyDescent="0.25">
      <c r="A11" s="8">
        <v>36400</v>
      </c>
      <c r="B11" s="8" t="s">
        <v>4</v>
      </c>
      <c r="C11" s="9">
        <v>78084</v>
      </c>
      <c r="D11" s="9"/>
      <c r="E11" s="9">
        <v>79585</v>
      </c>
      <c r="F11" s="10">
        <f t="shared" si="0"/>
        <v>-1501</v>
      </c>
      <c r="G11" s="9"/>
      <c r="H11" s="9">
        <f t="shared" si="1"/>
        <v>-1501</v>
      </c>
    </row>
    <row r="12" spans="1:8" x14ac:dyDescent="0.25">
      <c r="A12" s="8">
        <v>37400</v>
      </c>
      <c r="B12" s="8" t="s">
        <v>5</v>
      </c>
      <c r="C12" s="9">
        <v>-60225</v>
      </c>
      <c r="D12" s="9"/>
      <c r="E12" s="9"/>
      <c r="F12" s="10">
        <f t="shared" si="0"/>
        <v>-60225</v>
      </c>
      <c r="G12" s="9"/>
      <c r="H12" s="9">
        <f t="shared" si="1"/>
        <v>-60225</v>
      </c>
    </row>
    <row r="13" spans="1:8" x14ac:dyDescent="0.25">
      <c r="A13" s="8">
        <v>37402</v>
      </c>
      <c r="B13" s="8" t="s">
        <v>6</v>
      </c>
      <c r="C13" s="9"/>
      <c r="D13" s="9">
        <v>1150125</v>
      </c>
      <c r="E13" s="9">
        <v>1135966</v>
      </c>
      <c r="F13" s="10">
        <f t="shared" si="0"/>
        <v>14159</v>
      </c>
      <c r="G13" s="9">
        <f>+'Reserve Allocation - Original'!L22</f>
        <v>-14158.953748223623</v>
      </c>
      <c r="H13" s="9">
        <f t="shared" si="1"/>
        <v>4.6251776377175702E-2</v>
      </c>
    </row>
    <row r="14" spans="1:8" x14ac:dyDescent="0.25">
      <c r="A14" s="8">
        <v>37500</v>
      </c>
      <c r="B14" s="8" t="s">
        <v>7</v>
      </c>
      <c r="C14" s="9">
        <v>8870302</v>
      </c>
      <c r="D14" s="9"/>
      <c r="E14" s="9">
        <v>8327025</v>
      </c>
      <c r="F14" s="10">
        <f t="shared" si="0"/>
        <v>543277</v>
      </c>
      <c r="G14" s="9">
        <f>+'Reserve Allocation - Original'!L23</f>
        <v>-510483.22691323981</v>
      </c>
      <c r="H14" s="9">
        <f t="shared" si="1"/>
        <v>32793.773086760193</v>
      </c>
    </row>
    <row r="15" spans="1:8" x14ac:dyDescent="0.25">
      <c r="A15" s="8">
        <v>37600</v>
      </c>
      <c r="B15" s="8" t="s">
        <v>8</v>
      </c>
      <c r="C15" s="9">
        <v>221233588</v>
      </c>
      <c r="D15" s="9"/>
      <c r="E15" s="9">
        <v>219421191</v>
      </c>
      <c r="F15" s="10">
        <f t="shared" si="0"/>
        <v>1812397</v>
      </c>
      <c r="G15" s="9">
        <f>+'Reserve Allocation - Original'!L24</f>
        <v>-1812397.2400078475</v>
      </c>
      <c r="H15" s="9">
        <f t="shared" si="1"/>
        <v>-0.24000784754753113</v>
      </c>
    </row>
    <row r="16" spans="1:8" x14ac:dyDescent="0.25">
      <c r="A16" s="8">
        <v>37602</v>
      </c>
      <c r="B16" s="8" t="s">
        <v>9</v>
      </c>
      <c r="C16" s="9">
        <v>213121529</v>
      </c>
      <c r="D16" s="9"/>
      <c r="E16" s="9">
        <v>199350416</v>
      </c>
      <c r="F16" s="10">
        <f t="shared" si="0"/>
        <v>13771113</v>
      </c>
      <c r="G16" s="9">
        <f>+'Reserve Allocation - Original'!L25</f>
        <v>-13771112.448070576</v>
      </c>
      <c r="H16" s="9">
        <f t="shared" si="1"/>
        <v>0.5519294235855341</v>
      </c>
    </row>
    <row r="17" spans="1:8" x14ac:dyDescent="0.25">
      <c r="A17" s="8">
        <v>37700</v>
      </c>
      <c r="B17" s="8" t="s">
        <v>10</v>
      </c>
      <c r="C17" s="9">
        <v>1921393</v>
      </c>
      <c r="D17" s="9"/>
      <c r="E17" s="9">
        <v>1872819</v>
      </c>
      <c r="F17" s="10">
        <f t="shared" si="0"/>
        <v>48574</v>
      </c>
      <c r="G17" s="9">
        <f>+'Reserve Allocation - Original'!L26</f>
        <v>-48574.579192996789</v>
      </c>
      <c r="H17" s="9">
        <f t="shared" si="1"/>
        <v>-0.579192996789061</v>
      </c>
    </row>
    <row r="18" spans="1:8" x14ac:dyDescent="0.25">
      <c r="A18" s="8">
        <v>37800</v>
      </c>
      <c r="B18" s="8" t="s">
        <v>11</v>
      </c>
      <c r="C18" s="9">
        <v>6423569</v>
      </c>
      <c r="D18" s="9"/>
      <c r="E18" s="9">
        <v>6391147</v>
      </c>
      <c r="F18" s="10">
        <f t="shared" si="0"/>
        <v>32422</v>
      </c>
      <c r="G18" s="9">
        <f>+'Reserve Allocation - Original'!L27</f>
        <v>-32422.429210576873</v>
      </c>
      <c r="H18" s="9">
        <f t="shared" si="1"/>
        <v>-0.42921057687271968</v>
      </c>
    </row>
    <row r="19" spans="1:8" x14ac:dyDescent="0.25">
      <c r="A19" s="8">
        <v>37900</v>
      </c>
      <c r="B19" s="8" t="s">
        <v>12</v>
      </c>
      <c r="C19" s="9">
        <v>21492591</v>
      </c>
      <c r="D19" s="9"/>
      <c r="E19" s="9">
        <v>20597694</v>
      </c>
      <c r="F19" s="10">
        <f t="shared" si="0"/>
        <v>894897</v>
      </c>
      <c r="G19" s="9">
        <f>+'Reserve Allocation - Original'!L28</f>
        <v>-1012585.8827367572</v>
      </c>
      <c r="H19" s="9">
        <f t="shared" si="1"/>
        <v>-117688.88273675716</v>
      </c>
    </row>
    <row r="20" spans="1:8" x14ac:dyDescent="0.25">
      <c r="A20" s="8">
        <v>38000</v>
      </c>
      <c r="B20" s="8" t="s">
        <v>13</v>
      </c>
      <c r="C20" s="9">
        <v>45369272</v>
      </c>
      <c r="D20" s="9"/>
      <c r="E20" s="9">
        <v>44097347</v>
      </c>
      <c r="F20" s="10">
        <f t="shared" si="0"/>
        <v>1271925</v>
      </c>
      <c r="G20" s="9">
        <f>+'Reserve Allocation - Original'!L29</f>
        <v>-1271924.7581808537</v>
      </c>
      <c r="H20" s="9">
        <f t="shared" si="1"/>
        <v>0.24181914632208645</v>
      </c>
    </row>
    <row r="21" spans="1:8" x14ac:dyDescent="0.25">
      <c r="A21" s="8">
        <v>38002</v>
      </c>
      <c r="B21" s="8" t="s">
        <v>14</v>
      </c>
      <c r="C21" s="9">
        <v>221130216</v>
      </c>
      <c r="D21" s="9"/>
      <c r="E21" s="9">
        <v>212877942</v>
      </c>
      <c r="F21" s="10">
        <f t="shared" si="0"/>
        <v>8252274</v>
      </c>
      <c r="G21" s="9">
        <f>+'Reserve Allocation - Original'!L30</f>
        <v>-8252273.3188483724</v>
      </c>
      <c r="H21" s="9">
        <f t="shared" si="1"/>
        <v>0.68115162756294012</v>
      </c>
    </row>
    <row r="22" spans="1:8" x14ac:dyDescent="0.25">
      <c r="A22" s="8">
        <v>38100</v>
      </c>
      <c r="B22" s="8" t="s">
        <v>15</v>
      </c>
      <c r="C22" s="9">
        <v>45724877</v>
      </c>
      <c r="D22" s="9"/>
      <c r="E22" s="9">
        <v>44575768</v>
      </c>
      <c r="F22" s="10">
        <f t="shared" si="0"/>
        <v>1149109</v>
      </c>
      <c r="G22" s="9">
        <f>+'Reserve Allocation - Original'!L31</f>
        <v>-1149109.2148728252</v>
      </c>
      <c r="H22" s="9">
        <f t="shared" si="1"/>
        <v>-0.21487282519228756</v>
      </c>
    </row>
    <row r="23" spans="1:8" x14ac:dyDescent="0.25">
      <c r="A23" s="8">
        <v>38200</v>
      </c>
      <c r="B23" s="8" t="s">
        <v>16</v>
      </c>
      <c r="C23" s="9">
        <v>39220335</v>
      </c>
      <c r="D23" s="9"/>
      <c r="E23" s="9">
        <v>36161018</v>
      </c>
      <c r="F23" s="10">
        <f t="shared" si="0"/>
        <v>3059317</v>
      </c>
      <c r="G23" s="9">
        <f>+'Reserve Allocation - Original'!L32</f>
        <v>-3059316.6584266769</v>
      </c>
      <c r="H23" s="9">
        <f t="shared" si="1"/>
        <v>0.34157332312315702</v>
      </c>
    </row>
    <row r="24" spans="1:8" x14ac:dyDescent="0.25">
      <c r="A24" s="8">
        <v>38300</v>
      </c>
      <c r="B24" s="8" t="s">
        <v>17</v>
      </c>
      <c r="C24" s="9">
        <v>9756397</v>
      </c>
      <c r="D24" s="9"/>
      <c r="E24" s="9">
        <v>9132325</v>
      </c>
      <c r="F24" s="10">
        <f t="shared" si="0"/>
        <v>624072</v>
      </c>
      <c r="G24" s="9">
        <f>+'Reserve Allocation - Original'!L33</f>
        <v>-602894.08026331465</v>
      </c>
      <c r="H24" s="9">
        <f t="shared" si="1"/>
        <v>21177.919736685348</v>
      </c>
    </row>
    <row r="25" spans="1:8" x14ac:dyDescent="0.25">
      <c r="A25" s="8">
        <v>38400</v>
      </c>
      <c r="B25" s="8" t="s">
        <v>18</v>
      </c>
      <c r="C25" s="9">
        <v>17117052</v>
      </c>
      <c r="D25" s="9"/>
      <c r="E25" s="9">
        <v>15584500</v>
      </c>
      <c r="F25" s="10">
        <f t="shared" si="0"/>
        <v>1532552</v>
      </c>
      <c r="G25" s="9">
        <f>+'Reserve Allocation - Original'!L34</f>
        <v>-1532552.726259562</v>
      </c>
      <c r="H25" s="9">
        <f t="shared" si="1"/>
        <v>-0.72625956195406616</v>
      </c>
    </row>
    <row r="26" spans="1:8" x14ac:dyDescent="0.25">
      <c r="A26" s="8">
        <v>38500</v>
      </c>
      <c r="B26" s="8" t="s">
        <v>19</v>
      </c>
      <c r="C26" s="9">
        <v>7665448</v>
      </c>
      <c r="D26" s="9"/>
      <c r="E26" s="9">
        <v>7287259</v>
      </c>
      <c r="F26" s="10">
        <f t="shared" si="0"/>
        <v>378189</v>
      </c>
      <c r="G26" s="9">
        <f>+'Reserve Allocation - Original'!L35</f>
        <v>-378188.86766488547</v>
      </c>
      <c r="H26" s="9">
        <f t="shared" si="1"/>
        <v>0.13233511452563107</v>
      </c>
    </row>
    <row r="27" spans="1:8" x14ac:dyDescent="0.25">
      <c r="A27" s="8">
        <v>38700</v>
      </c>
      <c r="B27" s="8" t="s">
        <v>20</v>
      </c>
      <c r="C27" s="9">
        <v>6236109</v>
      </c>
      <c r="D27" s="9"/>
      <c r="E27" s="9">
        <v>5670672</v>
      </c>
      <c r="F27" s="10">
        <f t="shared" si="0"/>
        <v>565437</v>
      </c>
      <c r="G27" s="9">
        <f>+'Reserve Allocation - Original'!L36</f>
        <v>-552005.61560328526</v>
      </c>
      <c r="H27" s="9">
        <f t="shared" si="1"/>
        <v>13431.38439671474</v>
      </c>
    </row>
    <row r="28" spans="1:8" x14ac:dyDescent="0.25">
      <c r="A28" s="8">
        <v>39000</v>
      </c>
      <c r="B28" s="8" t="s">
        <v>7</v>
      </c>
      <c r="C28" s="9">
        <v>3392</v>
      </c>
      <c r="D28" s="9"/>
      <c r="E28" s="9">
        <v>45568</v>
      </c>
      <c r="F28" s="10">
        <f t="shared" si="0"/>
        <v>-42176</v>
      </c>
      <c r="G28" s="9"/>
      <c r="H28" s="9">
        <f t="shared" si="1"/>
        <v>-42176</v>
      </c>
    </row>
    <row r="29" spans="1:8" x14ac:dyDescent="0.25">
      <c r="A29" s="8">
        <v>39002</v>
      </c>
      <c r="B29" s="32" t="s">
        <v>63</v>
      </c>
      <c r="C29" s="9"/>
      <c r="D29" s="9">
        <v>42176</v>
      </c>
      <c r="E29" s="9"/>
      <c r="F29" s="10">
        <f t="shared" si="0"/>
        <v>42176</v>
      </c>
      <c r="G29" s="9"/>
      <c r="H29" s="9">
        <f t="shared" si="1"/>
        <v>42176</v>
      </c>
    </row>
    <row r="30" spans="1:8" x14ac:dyDescent="0.25">
      <c r="A30" s="8">
        <v>39101</v>
      </c>
      <c r="B30" s="8" t="s">
        <v>22</v>
      </c>
      <c r="C30" s="9">
        <v>3930307</v>
      </c>
      <c r="D30" s="9"/>
      <c r="E30" s="9">
        <v>3887201</v>
      </c>
      <c r="F30" s="10">
        <f t="shared" si="0"/>
        <v>43106</v>
      </c>
      <c r="G30" s="9"/>
      <c r="H30" s="9">
        <f t="shared" si="1"/>
        <v>43106</v>
      </c>
    </row>
    <row r="31" spans="1:8" x14ac:dyDescent="0.25">
      <c r="A31" s="8">
        <v>39102</v>
      </c>
      <c r="B31" s="8" t="s">
        <v>23</v>
      </c>
      <c r="C31" s="9">
        <v>1060119</v>
      </c>
      <c r="D31" s="9"/>
      <c r="E31" s="9">
        <v>1057060</v>
      </c>
      <c r="F31" s="10">
        <f t="shared" si="0"/>
        <v>3059</v>
      </c>
      <c r="G31" s="9"/>
      <c r="H31" s="9">
        <f t="shared" si="1"/>
        <v>3059</v>
      </c>
    </row>
    <row r="32" spans="1:8" x14ac:dyDescent="0.25">
      <c r="A32" s="8">
        <v>39201</v>
      </c>
      <c r="B32" s="8" t="s">
        <v>24</v>
      </c>
      <c r="C32" s="9">
        <v>8108219</v>
      </c>
      <c r="D32" s="9"/>
      <c r="E32" s="9">
        <v>8222729</v>
      </c>
      <c r="F32" s="10">
        <f t="shared" si="0"/>
        <v>-114510</v>
      </c>
      <c r="G32" s="9"/>
      <c r="H32" s="9">
        <f t="shared" si="1"/>
        <v>-114510</v>
      </c>
    </row>
    <row r="33" spans="1:8" x14ac:dyDescent="0.25">
      <c r="A33" s="8">
        <v>39202</v>
      </c>
      <c r="B33" s="8" t="s">
        <v>25</v>
      </c>
      <c r="C33" s="9">
        <v>9617268</v>
      </c>
      <c r="D33" s="9"/>
      <c r="E33" s="9">
        <v>9635072</v>
      </c>
      <c r="F33" s="10">
        <f t="shared" si="0"/>
        <v>-17804</v>
      </c>
      <c r="G33" s="9"/>
      <c r="H33" s="9">
        <f t="shared" si="1"/>
        <v>-17804</v>
      </c>
    </row>
    <row r="34" spans="1:8" x14ac:dyDescent="0.25">
      <c r="A34" s="8">
        <v>39205</v>
      </c>
      <c r="B34" s="8" t="s">
        <v>26</v>
      </c>
      <c r="C34" s="9">
        <v>1410924</v>
      </c>
      <c r="D34" s="9"/>
      <c r="E34" s="9">
        <v>1395539</v>
      </c>
      <c r="F34" s="10">
        <f t="shared" si="0"/>
        <v>15385</v>
      </c>
      <c r="G34" s="9"/>
      <c r="H34" s="9">
        <f t="shared" si="1"/>
        <v>15385</v>
      </c>
    </row>
    <row r="35" spans="1:8" x14ac:dyDescent="0.25">
      <c r="A35" s="8">
        <v>39400</v>
      </c>
      <c r="B35" s="8" t="s">
        <v>30</v>
      </c>
      <c r="C35" s="9">
        <v>4792331</v>
      </c>
      <c r="D35" s="9"/>
      <c r="E35" s="9">
        <v>4783405</v>
      </c>
      <c r="F35" s="10">
        <f t="shared" si="0"/>
        <v>8926</v>
      </c>
      <c r="G35" s="9"/>
      <c r="H35" s="9">
        <f t="shared" si="1"/>
        <v>8926</v>
      </c>
    </row>
    <row r="36" spans="1:8" x14ac:dyDescent="0.25">
      <c r="A36" s="8">
        <v>39401</v>
      </c>
      <c r="B36" s="8" t="s">
        <v>27</v>
      </c>
      <c r="C36" s="9">
        <v>960600</v>
      </c>
      <c r="D36" s="9"/>
      <c r="E36" s="9">
        <v>958073</v>
      </c>
      <c r="F36" s="10">
        <f t="shared" si="0"/>
        <v>2527</v>
      </c>
      <c r="G36" s="9"/>
      <c r="H36" s="9">
        <f t="shared" si="1"/>
        <v>2527</v>
      </c>
    </row>
    <row r="37" spans="1:8" x14ac:dyDescent="0.25">
      <c r="A37" s="8">
        <v>39600</v>
      </c>
      <c r="B37" s="8" t="s">
        <v>28</v>
      </c>
      <c r="C37" s="9">
        <v>2164798</v>
      </c>
      <c r="D37" s="9"/>
      <c r="E37" s="9">
        <v>2148335</v>
      </c>
      <c r="F37" s="10">
        <f t="shared" si="0"/>
        <v>16463</v>
      </c>
      <c r="G37" s="9"/>
      <c r="H37" s="9">
        <f t="shared" si="1"/>
        <v>16463</v>
      </c>
    </row>
    <row r="38" spans="1:8" x14ac:dyDescent="0.25">
      <c r="A38" s="8">
        <v>39800</v>
      </c>
      <c r="B38" s="8" t="s">
        <v>29</v>
      </c>
      <c r="C38" s="9">
        <v>234465</v>
      </c>
      <c r="D38" s="9"/>
      <c r="E38" s="9">
        <v>236138</v>
      </c>
      <c r="F38" s="10">
        <f t="shared" si="0"/>
        <v>-1673</v>
      </c>
      <c r="G38" s="9"/>
      <c r="H38" s="9">
        <f t="shared" si="1"/>
        <v>-1673</v>
      </c>
    </row>
    <row r="40" spans="1:8" ht="21" customHeight="1" x14ac:dyDescent="0.25">
      <c r="A40" s="34" t="s">
        <v>70</v>
      </c>
    </row>
    <row r="41" spans="1:8" x14ac:dyDescent="0.25">
      <c r="A41" s="116" t="s">
        <v>69</v>
      </c>
      <c r="B41" s="116"/>
      <c r="C41" s="116"/>
      <c r="D41" s="116"/>
      <c r="E41" s="116"/>
      <c r="F41" s="116"/>
      <c r="G41" s="116"/>
      <c r="H41" s="116"/>
    </row>
    <row r="42" spans="1:8" ht="31.5" customHeight="1" x14ac:dyDescent="0.25">
      <c r="A42" s="116"/>
      <c r="B42" s="116"/>
      <c r="C42" s="116"/>
      <c r="D42" s="116"/>
      <c r="E42" s="116"/>
      <c r="F42" s="116"/>
      <c r="G42" s="116"/>
      <c r="H42" s="116"/>
    </row>
  </sheetData>
  <mergeCells count="1">
    <mergeCell ref="A41:H42"/>
  </mergeCells>
  <pageMargins left="0.7" right="0.7" top="0.75" bottom="0.75" header="0.3" footer="0.3"/>
  <pageSetup scale="80" orientation="landscape" horizontalDpi="90" verticalDpi="90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845B2-41C9-4C49-8485-C74B49DA4A34}">
  <dimension ref="A1:O384"/>
  <sheetViews>
    <sheetView topLeftCell="A32" zoomScale="90" zoomScaleNormal="90" workbookViewId="0">
      <selection activeCell="N82" sqref="N82"/>
    </sheetView>
  </sheetViews>
  <sheetFormatPr defaultRowHeight="15" x14ac:dyDescent="0.25"/>
  <cols>
    <col min="1" max="1" width="21.5703125" style="16" customWidth="1"/>
    <col min="2" max="5" width="9.140625" style="16"/>
    <col min="6" max="6" width="33.140625" style="16" customWidth="1"/>
    <col min="7" max="7" width="9.140625" style="16"/>
    <col min="8" max="8" width="27.140625" style="17" customWidth="1"/>
    <col min="9" max="9" width="9.140625" style="18"/>
    <col min="10" max="10" width="29" style="18" customWidth="1"/>
    <col min="11" max="11" width="11.28515625" style="16" bestFit="1" customWidth="1"/>
    <col min="12" max="12" width="20.42578125" style="16" customWidth="1"/>
    <col min="13" max="13" width="9.140625" style="16"/>
    <col min="14" max="14" width="19.85546875" style="16" customWidth="1"/>
    <col min="15" max="16384" width="9.140625" style="16"/>
  </cols>
  <sheetData>
    <row r="1" spans="1:14" x14ac:dyDescent="0.25">
      <c r="A1" s="6" t="s">
        <v>184</v>
      </c>
    </row>
    <row r="2" spans="1:14" x14ac:dyDescent="0.25">
      <c r="A2" s="38" t="s">
        <v>182</v>
      </c>
    </row>
    <row r="3" spans="1:14" x14ac:dyDescent="0.25">
      <c r="A3" s="6" t="s">
        <v>224</v>
      </c>
    </row>
    <row r="4" spans="1:14" x14ac:dyDescent="0.25">
      <c r="A4" s="38"/>
    </row>
    <row r="5" spans="1:14" x14ac:dyDescent="0.25">
      <c r="A5" s="16" t="s">
        <v>235</v>
      </c>
    </row>
    <row r="6" spans="1:14" x14ac:dyDescent="0.25">
      <c r="A6" s="16" t="s">
        <v>236</v>
      </c>
    </row>
    <row r="7" spans="1:14" x14ac:dyDescent="0.25">
      <c r="A7" s="16" t="s">
        <v>237</v>
      </c>
    </row>
    <row r="9" spans="1:14" hidden="1" x14ac:dyDescent="0.25"/>
    <row r="10" spans="1:14" hidden="1" x14ac:dyDescent="0.25"/>
    <row r="11" spans="1:14" hidden="1" x14ac:dyDescent="0.25"/>
    <row r="12" spans="1:14" hidden="1" x14ac:dyDescent="0.25"/>
    <row r="13" spans="1:14" x14ac:dyDescent="0.25">
      <c r="F13" s="19" t="s">
        <v>55</v>
      </c>
      <c r="G13" s="20"/>
      <c r="H13" s="21" t="s">
        <v>56</v>
      </c>
      <c r="I13" s="22"/>
      <c r="J13" s="23" t="s">
        <v>40</v>
      </c>
      <c r="K13" s="20"/>
      <c r="L13" s="19" t="s">
        <v>57</v>
      </c>
      <c r="M13" s="20"/>
      <c r="N13" s="19" t="s">
        <v>58</v>
      </c>
    </row>
    <row r="15" spans="1:14" x14ac:dyDescent="0.25">
      <c r="A15" s="16" t="s">
        <v>238</v>
      </c>
      <c r="F15" s="18"/>
    </row>
    <row r="16" spans="1:14" x14ac:dyDescent="0.25">
      <c r="A16" s="16">
        <v>30300</v>
      </c>
      <c r="B16" s="16">
        <v>30300</v>
      </c>
      <c r="C16" s="16" t="s">
        <v>239</v>
      </c>
      <c r="F16" s="18">
        <v>815325.0699999989</v>
      </c>
      <c r="H16" s="17">
        <v>815325.07000000007</v>
      </c>
      <c r="J16" s="18">
        <f>+H16-F16</f>
        <v>1.1641532182693481E-9</v>
      </c>
      <c r="N16" s="24">
        <f>+F16</f>
        <v>815325.0699999989</v>
      </c>
    </row>
    <row r="17" spans="1:14" x14ac:dyDescent="0.25">
      <c r="A17" s="16">
        <v>30301</v>
      </c>
      <c r="B17" s="16">
        <v>30301</v>
      </c>
      <c r="C17" s="16" t="s">
        <v>240</v>
      </c>
      <c r="F17" s="18">
        <v>37523500.841743499</v>
      </c>
      <c r="H17" s="17">
        <v>37163156.813666657</v>
      </c>
      <c r="J17" s="18">
        <f>+H17-F17</f>
        <v>-360344.02807684243</v>
      </c>
      <c r="N17" s="24">
        <f>+F17</f>
        <v>37523500.841743499</v>
      </c>
    </row>
    <row r="18" spans="1:14" x14ac:dyDescent="0.25">
      <c r="F18" s="18">
        <f>SUM(F16:F17)</f>
        <v>38338825.911743499</v>
      </c>
      <c r="H18" s="18">
        <v>37978481.883666657</v>
      </c>
      <c r="N18" s="18">
        <f>SUM(N16:N17)</f>
        <v>38338825.911743499</v>
      </c>
    </row>
    <row r="19" spans="1:14" x14ac:dyDescent="0.25">
      <c r="F19" s="18"/>
    </row>
    <row r="20" spans="1:14" x14ac:dyDescent="0.25">
      <c r="F20" s="18"/>
    </row>
    <row r="21" spans="1:14" x14ac:dyDescent="0.25">
      <c r="A21" s="16" t="s">
        <v>241</v>
      </c>
      <c r="B21" s="16" t="s">
        <v>242</v>
      </c>
      <c r="F21" s="18"/>
    </row>
    <row r="22" spans="1:14" x14ac:dyDescent="0.25">
      <c r="A22" s="16">
        <v>37402</v>
      </c>
      <c r="B22" s="16">
        <v>37402</v>
      </c>
      <c r="C22" s="16" t="s">
        <v>6</v>
      </c>
      <c r="F22" s="18">
        <v>1150124.6291599963</v>
      </c>
      <c r="H22" s="17">
        <v>1089359.1105333332</v>
      </c>
      <c r="J22" s="18">
        <f t="shared" ref="J22:J36" si="0">+H22-F22</f>
        <v>-60765.518626663135</v>
      </c>
      <c r="L22" s="24">
        <f>-34000000*J22/J$37</f>
        <v>-14158.953748223623</v>
      </c>
      <c r="N22" s="24">
        <f>+F22+L22</f>
        <v>1135965.6754117727</v>
      </c>
    </row>
    <row r="23" spans="1:14" x14ac:dyDescent="0.25">
      <c r="A23" s="16">
        <v>37500</v>
      </c>
      <c r="B23" s="16">
        <v>37500</v>
      </c>
      <c r="C23" s="16" t="s">
        <v>243</v>
      </c>
      <c r="F23" s="18">
        <v>8837508.5730655696</v>
      </c>
      <c r="H23" s="17">
        <v>6646684.4072978618</v>
      </c>
      <c r="J23" s="18">
        <f t="shared" si="0"/>
        <v>-2190824.1657677079</v>
      </c>
      <c r="L23" s="24">
        <f t="shared" ref="L23:L36" si="1">-34000000*J23/J$37</f>
        <v>-510483.22691323981</v>
      </c>
      <c r="N23" s="24">
        <f t="shared" ref="N23:N36" si="2">+F23+L23</f>
        <v>8327025.3461523298</v>
      </c>
    </row>
    <row r="24" spans="1:14" x14ac:dyDescent="0.25">
      <c r="A24" s="16">
        <v>37600</v>
      </c>
      <c r="B24" s="16">
        <v>37600</v>
      </c>
      <c r="C24" s="16" t="s">
        <v>244</v>
      </c>
      <c r="F24" s="18">
        <v>221233588.2661801</v>
      </c>
      <c r="H24" s="17">
        <v>213455382.31925929</v>
      </c>
      <c r="J24" s="18">
        <f t="shared" si="0"/>
        <v>-7778205.9469208121</v>
      </c>
      <c r="L24" s="24">
        <f t="shared" si="1"/>
        <v>-1812397.2400078475</v>
      </c>
      <c r="N24" s="24">
        <f t="shared" si="2"/>
        <v>219421191.02617225</v>
      </c>
    </row>
    <row r="25" spans="1:14" x14ac:dyDescent="0.25">
      <c r="A25" s="16">
        <v>37602</v>
      </c>
      <c r="B25" s="16">
        <v>37602</v>
      </c>
      <c r="C25" s="16" t="s">
        <v>245</v>
      </c>
      <c r="F25" s="18">
        <v>213121528.94005474</v>
      </c>
      <c r="H25" s="17">
        <v>154020496.13400501</v>
      </c>
      <c r="J25" s="18">
        <f t="shared" si="0"/>
        <v>-59101032.806049734</v>
      </c>
      <c r="L25" s="24">
        <f t="shared" si="1"/>
        <v>-13771112.448070576</v>
      </c>
      <c r="N25" s="24">
        <f t="shared" si="2"/>
        <v>199350416.49198416</v>
      </c>
    </row>
    <row r="26" spans="1:14" x14ac:dyDescent="0.25">
      <c r="A26" s="16">
        <v>37700</v>
      </c>
      <c r="B26" s="16">
        <v>37700</v>
      </c>
      <c r="C26" s="16" t="s">
        <v>10</v>
      </c>
      <c r="F26" s="18">
        <v>1921393.2040000004</v>
      </c>
      <c r="H26" s="17">
        <v>1712927.2714726988</v>
      </c>
      <c r="J26" s="18">
        <f t="shared" si="0"/>
        <v>-208465.9325273016</v>
      </c>
      <c r="L26" s="24">
        <f t="shared" si="1"/>
        <v>-48574.579192996789</v>
      </c>
      <c r="N26" s="24">
        <f t="shared" si="2"/>
        <v>1872818.6248070037</v>
      </c>
    </row>
    <row r="27" spans="1:14" x14ac:dyDescent="0.25">
      <c r="A27" s="16">
        <v>37800</v>
      </c>
      <c r="B27" s="16">
        <v>37800</v>
      </c>
      <c r="C27" s="16" t="s">
        <v>246</v>
      </c>
      <c r="F27" s="18">
        <v>6423569.0301257977</v>
      </c>
      <c r="H27" s="17">
        <v>6284422.7513010539</v>
      </c>
      <c r="J27" s="18">
        <f t="shared" si="0"/>
        <v>-139146.27882474381</v>
      </c>
      <c r="L27" s="24">
        <f t="shared" si="1"/>
        <v>-32422.429210576873</v>
      </c>
      <c r="N27" s="24">
        <f t="shared" si="2"/>
        <v>6391146.6009152206</v>
      </c>
    </row>
    <row r="28" spans="1:14" x14ac:dyDescent="0.25">
      <c r="A28" s="16">
        <v>37900</v>
      </c>
      <c r="B28" s="16">
        <v>37900</v>
      </c>
      <c r="C28" s="16" t="s">
        <v>247</v>
      </c>
      <c r="F28" s="18">
        <v>21610279.458510127</v>
      </c>
      <c r="H28" s="17">
        <v>17264597.749771152</v>
      </c>
      <c r="J28" s="18">
        <f t="shared" si="0"/>
        <v>-4345681.7087389752</v>
      </c>
      <c r="L28" s="24">
        <f t="shared" si="1"/>
        <v>-1012585.8827367572</v>
      </c>
      <c r="N28" s="24">
        <f t="shared" si="2"/>
        <v>20597693.57577337</v>
      </c>
    </row>
    <row r="29" spans="1:14" x14ac:dyDescent="0.25">
      <c r="A29" s="16">
        <v>38000</v>
      </c>
      <c r="B29" s="16">
        <v>38000</v>
      </c>
      <c r="C29" s="16" t="s">
        <v>248</v>
      </c>
      <c r="F29" s="18">
        <v>45369271.820070066</v>
      </c>
      <c r="H29" s="17">
        <v>39910593.943207212</v>
      </c>
      <c r="J29" s="18">
        <f t="shared" si="0"/>
        <v>-5458677.8768628538</v>
      </c>
      <c r="L29" s="24">
        <f t="shared" si="1"/>
        <v>-1271924.7581808537</v>
      </c>
      <c r="N29" s="24">
        <f t="shared" si="2"/>
        <v>44097347.061889209</v>
      </c>
    </row>
    <row r="30" spans="1:14" x14ac:dyDescent="0.25">
      <c r="A30" s="16">
        <v>38002</v>
      </c>
      <c r="B30" s="16">
        <v>38002</v>
      </c>
      <c r="C30" s="16" t="s">
        <v>249</v>
      </c>
      <c r="F30" s="18">
        <v>221130215.59483576</v>
      </c>
      <c r="H30" s="17">
        <v>185714204.14471656</v>
      </c>
      <c r="J30" s="18">
        <f t="shared" si="0"/>
        <v>-35416011.450119197</v>
      </c>
      <c r="L30" s="24">
        <f t="shared" si="1"/>
        <v>-8252273.3188483724</v>
      </c>
      <c r="N30" s="24">
        <f t="shared" si="2"/>
        <v>212877942.27598739</v>
      </c>
    </row>
    <row r="31" spans="1:14" x14ac:dyDescent="0.25">
      <c r="A31" s="16">
        <v>38100</v>
      </c>
      <c r="B31" s="16">
        <v>38100</v>
      </c>
      <c r="C31" s="16" t="s">
        <v>15</v>
      </c>
      <c r="F31" s="18">
        <v>45724877.058113605</v>
      </c>
      <c r="H31" s="17">
        <v>40793282.630863972</v>
      </c>
      <c r="J31" s="18">
        <f t="shared" si="0"/>
        <v>-4931594.4272496328</v>
      </c>
      <c r="L31" s="24">
        <f t="shared" si="1"/>
        <v>-1149109.2148728252</v>
      </c>
      <c r="N31" s="24">
        <f t="shared" si="2"/>
        <v>44575767.843240783</v>
      </c>
    </row>
    <row r="32" spans="1:14" x14ac:dyDescent="0.25">
      <c r="A32" s="16">
        <v>38200</v>
      </c>
      <c r="B32" s="16">
        <v>38200</v>
      </c>
      <c r="C32" s="16" t="s">
        <v>16</v>
      </c>
      <c r="F32" s="18">
        <v>39220335.020286247</v>
      </c>
      <c r="H32" s="17">
        <v>26090765.795172412</v>
      </c>
      <c r="J32" s="18">
        <f t="shared" si="0"/>
        <v>-13129569.225113835</v>
      </c>
      <c r="L32" s="24">
        <f t="shared" si="1"/>
        <v>-3059316.6584266769</v>
      </c>
      <c r="N32" s="24">
        <f t="shared" si="2"/>
        <v>36161018.361859567</v>
      </c>
    </row>
    <row r="33" spans="1:14" x14ac:dyDescent="0.25">
      <c r="A33" s="16">
        <v>38300</v>
      </c>
      <c r="B33" s="16">
        <v>38300</v>
      </c>
      <c r="C33" s="16" t="s">
        <v>250</v>
      </c>
      <c r="F33" s="18">
        <v>9735218.8371897917</v>
      </c>
      <c r="H33" s="17">
        <v>7147798.035088392</v>
      </c>
      <c r="J33" s="18">
        <f t="shared" si="0"/>
        <v>-2587420.8021013997</v>
      </c>
      <c r="L33" s="24">
        <f t="shared" si="1"/>
        <v>-602894.08026331465</v>
      </c>
      <c r="N33" s="24">
        <f t="shared" si="2"/>
        <v>9132324.756926477</v>
      </c>
    </row>
    <row r="34" spans="1:14" x14ac:dyDescent="0.25">
      <c r="A34" s="16">
        <v>38400</v>
      </c>
      <c r="B34" s="16">
        <v>38400</v>
      </c>
      <c r="C34" s="16" t="s">
        <v>251</v>
      </c>
      <c r="F34" s="18">
        <v>17117052.271989994</v>
      </c>
      <c r="H34" s="17">
        <v>10539845.870312724</v>
      </c>
      <c r="J34" s="18">
        <f t="shared" si="0"/>
        <v>-6577206.4016772695</v>
      </c>
      <c r="L34" s="24">
        <f t="shared" si="1"/>
        <v>-1532552.726259562</v>
      </c>
      <c r="N34" s="24">
        <f t="shared" si="2"/>
        <v>15584499.545730432</v>
      </c>
    </row>
    <row r="35" spans="1:14" x14ac:dyDescent="0.25">
      <c r="A35" s="16">
        <v>38500</v>
      </c>
      <c r="B35" s="16">
        <v>38500</v>
      </c>
      <c r="C35" s="16" t="s">
        <v>252</v>
      </c>
      <c r="F35" s="18">
        <v>7665448.2188000074</v>
      </c>
      <c r="H35" s="17">
        <v>6042387.4269409757</v>
      </c>
      <c r="J35" s="18">
        <f t="shared" si="0"/>
        <v>-1623060.7918590317</v>
      </c>
      <c r="L35" s="24">
        <f t="shared" si="1"/>
        <v>-378188.86766488547</v>
      </c>
      <c r="N35" s="24">
        <f t="shared" si="2"/>
        <v>7287259.3511351217</v>
      </c>
    </row>
    <row r="36" spans="1:14" x14ac:dyDescent="0.25">
      <c r="A36" s="16">
        <v>38700</v>
      </c>
      <c r="B36" s="16">
        <v>38700</v>
      </c>
      <c r="C36" s="16" t="s">
        <v>20</v>
      </c>
      <c r="F36" s="18">
        <v>6222677.5087700002</v>
      </c>
      <c r="H36" s="17">
        <v>3853653.0657618181</v>
      </c>
      <c r="J36" s="18">
        <f t="shared" si="0"/>
        <v>-2369024.4430081821</v>
      </c>
      <c r="L36" s="24">
        <f t="shared" si="1"/>
        <v>-552005.61560328526</v>
      </c>
      <c r="N36" s="24">
        <f t="shared" si="2"/>
        <v>5670671.8931667153</v>
      </c>
    </row>
    <row r="37" spans="1:14" x14ac:dyDescent="0.25">
      <c r="C37" s="16" t="s">
        <v>253</v>
      </c>
      <c r="F37" s="25">
        <f>SUM(F22:F36)</f>
        <v>866483088.43115163</v>
      </c>
      <c r="G37" s="26"/>
      <c r="H37" s="27">
        <v>720566400.6557045</v>
      </c>
      <c r="I37" s="25"/>
      <c r="J37" s="25">
        <f>SUM(J22:J36)</f>
        <v>-145916687.77544737</v>
      </c>
      <c r="K37" s="26"/>
      <c r="L37" s="25">
        <f>SUM(L22:L36)</f>
        <v>-33999999.999999993</v>
      </c>
      <c r="M37" s="26"/>
      <c r="N37" s="25">
        <f>SUM(N22:N36)</f>
        <v>832483088.43115175</v>
      </c>
    </row>
    <row r="38" spans="1:14" x14ac:dyDescent="0.25">
      <c r="F38" s="18"/>
    </row>
    <row r="39" spans="1:14" hidden="1" x14ac:dyDescent="0.25">
      <c r="F39" s="18"/>
    </row>
    <row r="40" spans="1:14" hidden="1" x14ac:dyDescent="0.25">
      <c r="F40" s="18"/>
    </row>
    <row r="41" spans="1:14" hidden="1" x14ac:dyDescent="0.25">
      <c r="F41" s="18"/>
    </row>
    <row r="42" spans="1:14" hidden="1" x14ac:dyDescent="0.25">
      <c r="F42" s="18"/>
    </row>
    <row r="43" spans="1:14" hidden="1" x14ac:dyDescent="0.25">
      <c r="F43" s="18"/>
    </row>
    <row r="44" spans="1:14" hidden="1" x14ac:dyDescent="0.25">
      <c r="F44" s="18"/>
    </row>
    <row r="45" spans="1:14" x14ac:dyDescent="0.25">
      <c r="F45" s="18"/>
    </row>
    <row r="46" spans="1:14" x14ac:dyDescent="0.25">
      <c r="A46" s="16" t="s">
        <v>254</v>
      </c>
      <c r="B46" s="16" t="s">
        <v>255</v>
      </c>
      <c r="F46" s="18"/>
    </row>
    <row r="47" spans="1:14" x14ac:dyDescent="0.25">
      <c r="A47" s="16">
        <v>39000</v>
      </c>
      <c r="B47" s="16">
        <v>39000</v>
      </c>
      <c r="C47" s="16" t="s">
        <v>243</v>
      </c>
      <c r="F47" s="18">
        <v>45567.602230799923</v>
      </c>
      <c r="H47" s="17">
        <v>56332.524374953209</v>
      </c>
      <c r="J47" s="18">
        <f t="shared" ref="J47:J60" si="3">+H47-F47</f>
        <v>10764.922144153286</v>
      </c>
      <c r="N47" s="24">
        <f t="shared" ref="N47:N60" si="4">+F47+L47</f>
        <v>45567.602230799923</v>
      </c>
    </row>
    <row r="48" spans="1:14" x14ac:dyDescent="0.25">
      <c r="A48" s="16">
        <v>39100</v>
      </c>
      <c r="B48" s="16">
        <v>39100</v>
      </c>
      <c r="C48" s="16" t="s">
        <v>256</v>
      </c>
      <c r="F48" s="18">
        <v>1250876.8360366272</v>
      </c>
      <c r="H48" s="17">
        <v>1196618.1883333335</v>
      </c>
      <c r="J48" s="18">
        <f t="shared" si="3"/>
        <v>-54258.647703293711</v>
      </c>
      <c r="N48" s="24">
        <f t="shared" si="4"/>
        <v>1250876.8360366272</v>
      </c>
    </row>
    <row r="49" spans="1:15" x14ac:dyDescent="0.25">
      <c r="A49" s="16">
        <v>39101</v>
      </c>
      <c r="B49" s="16">
        <v>39101</v>
      </c>
      <c r="C49" s="16" t="s">
        <v>22</v>
      </c>
      <c r="F49" s="18">
        <v>3887200.5361898364</v>
      </c>
      <c r="H49" s="17">
        <v>2954096.7411101125</v>
      </c>
      <c r="J49" s="18">
        <f t="shared" si="3"/>
        <v>-933103.79507972393</v>
      </c>
      <c r="N49" s="24">
        <f t="shared" si="4"/>
        <v>3887200.5361898364</v>
      </c>
    </row>
    <row r="50" spans="1:15" x14ac:dyDescent="0.25">
      <c r="A50" s="16">
        <v>39102</v>
      </c>
      <c r="B50" s="16">
        <v>39102</v>
      </c>
      <c r="C50" s="16" t="s">
        <v>257</v>
      </c>
      <c r="F50" s="18">
        <v>1057059.5213299992</v>
      </c>
      <c r="H50" s="17">
        <v>1017935.451</v>
      </c>
      <c r="J50" s="18">
        <f t="shared" si="3"/>
        <v>-39124.070329999202</v>
      </c>
      <c r="N50" s="24">
        <f t="shared" si="4"/>
        <v>1057059.5213299992</v>
      </c>
    </row>
    <row r="51" spans="1:15" x14ac:dyDescent="0.25">
      <c r="A51" s="16">
        <v>39201</v>
      </c>
      <c r="B51" s="16">
        <v>39201</v>
      </c>
      <c r="C51" s="16" t="s">
        <v>258</v>
      </c>
      <c r="F51" s="18">
        <v>8222729.2678835941</v>
      </c>
      <c r="H51" s="17">
        <v>6878410.7265629126</v>
      </c>
      <c r="J51" s="18">
        <f t="shared" si="3"/>
        <v>-1344318.5413206816</v>
      </c>
      <c r="N51" s="24">
        <f t="shared" si="4"/>
        <v>8222729.2678835941</v>
      </c>
    </row>
    <row r="52" spans="1:15" x14ac:dyDescent="0.25">
      <c r="A52" s="16">
        <v>39202</v>
      </c>
      <c r="B52" s="16">
        <v>39202</v>
      </c>
      <c r="C52" s="16" t="s">
        <v>259</v>
      </c>
      <c r="F52" s="18">
        <v>9635071.750319995</v>
      </c>
      <c r="H52" s="17">
        <v>8087562.2320070891</v>
      </c>
      <c r="J52" s="18">
        <f t="shared" si="3"/>
        <v>-1547509.5183129059</v>
      </c>
      <c r="N52" s="24">
        <f t="shared" si="4"/>
        <v>9635071.750319995</v>
      </c>
    </row>
    <row r="53" spans="1:15" x14ac:dyDescent="0.25">
      <c r="A53" s="16">
        <v>39204</v>
      </c>
      <c r="B53" s="16">
        <v>39204</v>
      </c>
      <c r="C53" s="16" t="s">
        <v>260</v>
      </c>
      <c r="F53" s="18">
        <v>932593.93949549214</v>
      </c>
      <c r="H53" s="17">
        <v>605226.20688912738</v>
      </c>
      <c r="J53" s="18">
        <f t="shared" si="3"/>
        <v>-327367.73260636476</v>
      </c>
      <c r="N53" s="24">
        <f t="shared" si="4"/>
        <v>932593.93949549214</v>
      </c>
    </row>
    <row r="54" spans="1:15" x14ac:dyDescent="0.25">
      <c r="A54" s="16">
        <v>39205</v>
      </c>
      <c r="B54" s="16">
        <v>39205</v>
      </c>
      <c r="C54" s="16" t="s">
        <v>261</v>
      </c>
      <c r="F54" s="18">
        <v>1395539.2506799987</v>
      </c>
      <c r="H54" s="17">
        <v>1110304.5851944366</v>
      </c>
      <c r="J54" s="18">
        <f t="shared" si="3"/>
        <v>-285234.66548556206</v>
      </c>
      <c r="N54" s="24">
        <f t="shared" si="4"/>
        <v>1395539.2506799987</v>
      </c>
    </row>
    <row r="55" spans="1:15" x14ac:dyDescent="0.25">
      <c r="A55" s="16">
        <v>39300</v>
      </c>
      <c r="B55" s="16">
        <v>39300</v>
      </c>
      <c r="C55" s="16" t="s">
        <v>262</v>
      </c>
      <c r="F55" s="18">
        <v>647.04815000006727</v>
      </c>
      <c r="H55" s="17">
        <v>668.43229166666663</v>
      </c>
      <c r="J55" s="18">
        <f t="shared" si="3"/>
        <v>21.384141666599362</v>
      </c>
      <c r="N55" s="24">
        <f t="shared" si="4"/>
        <v>647.04815000006727</v>
      </c>
    </row>
    <row r="56" spans="1:15" x14ac:dyDescent="0.25">
      <c r="A56" s="16">
        <v>39400</v>
      </c>
      <c r="B56" s="16">
        <v>39400</v>
      </c>
      <c r="C56" s="16" t="s">
        <v>263</v>
      </c>
      <c r="F56" s="18">
        <v>4783405.2230809862</v>
      </c>
      <c r="H56" s="17">
        <v>4162505.1461111121</v>
      </c>
      <c r="J56" s="18">
        <f t="shared" si="3"/>
        <v>-620900.07696987409</v>
      </c>
      <c r="N56" s="24">
        <f t="shared" si="4"/>
        <v>4783405.2230809862</v>
      </c>
    </row>
    <row r="57" spans="1:15" x14ac:dyDescent="0.25">
      <c r="A57" s="16">
        <v>39401</v>
      </c>
      <c r="B57" s="16">
        <v>39401</v>
      </c>
      <c r="C57" s="16" t="s">
        <v>264</v>
      </c>
      <c r="F57" s="18">
        <v>958073.39337000111</v>
      </c>
      <c r="H57" s="17">
        <v>982914.31574999948</v>
      </c>
      <c r="J57" s="18">
        <f t="shared" si="3"/>
        <v>24840.922379998374</v>
      </c>
      <c r="N57" s="24">
        <f t="shared" si="4"/>
        <v>958073.39337000111</v>
      </c>
    </row>
    <row r="58" spans="1:15" x14ac:dyDescent="0.25">
      <c r="A58" s="16">
        <v>39600</v>
      </c>
      <c r="B58" s="16">
        <v>39600</v>
      </c>
      <c r="C58" s="16" t="s">
        <v>28</v>
      </c>
      <c r="F58" s="18">
        <v>2148335.1997778886</v>
      </c>
      <c r="H58" s="17">
        <v>1469239.0107407374</v>
      </c>
      <c r="J58" s="18">
        <f t="shared" si="3"/>
        <v>-679096.18903715117</v>
      </c>
      <c r="N58" s="24">
        <f t="shared" si="4"/>
        <v>2148335.1997778886</v>
      </c>
    </row>
    <row r="59" spans="1:15" x14ac:dyDescent="0.25">
      <c r="A59" s="16">
        <v>39700</v>
      </c>
      <c r="B59" s="16">
        <v>39700</v>
      </c>
      <c r="C59" s="16" t="s">
        <v>265</v>
      </c>
      <c r="F59" s="18">
        <v>3012751.6863328698</v>
      </c>
      <c r="H59" s="17">
        <v>2637260.2415692308</v>
      </c>
      <c r="J59" s="18">
        <f t="shared" si="3"/>
        <v>-375491.44476363901</v>
      </c>
      <c r="N59" s="24">
        <f t="shared" si="4"/>
        <v>3012751.6863328698</v>
      </c>
    </row>
    <row r="60" spans="1:15" x14ac:dyDescent="0.25">
      <c r="A60" s="16">
        <v>39800</v>
      </c>
      <c r="B60" s="16">
        <v>39800</v>
      </c>
      <c r="C60" s="16" t="s">
        <v>266</v>
      </c>
      <c r="F60" s="18">
        <v>236137.54089293242</v>
      </c>
      <c r="H60" s="17">
        <v>161215.01680767705</v>
      </c>
      <c r="J60" s="18">
        <f t="shared" si="3"/>
        <v>-74922.524085255369</v>
      </c>
      <c r="N60" s="24">
        <f t="shared" si="4"/>
        <v>236137.54089293242</v>
      </c>
    </row>
    <row r="61" spans="1:15" x14ac:dyDescent="0.25">
      <c r="A61" s="16">
        <v>0</v>
      </c>
      <c r="B61" s="16" t="s">
        <v>267</v>
      </c>
      <c r="C61" s="16" t="s">
        <v>268</v>
      </c>
      <c r="F61" s="25">
        <f>SUM(F47:F60)</f>
        <v>37565988.795771018</v>
      </c>
      <c r="G61" s="26"/>
      <c r="H61" s="27">
        <v>31320288.818742387</v>
      </c>
      <c r="I61" s="25"/>
      <c r="J61" s="25">
        <f t="shared" ref="J61:O61" si="5">SUM(J47:J60)</f>
        <v>-6245699.9770286316</v>
      </c>
      <c r="K61" s="25">
        <f t="shared" si="5"/>
        <v>0</v>
      </c>
      <c r="L61" s="25">
        <f t="shared" si="5"/>
        <v>0</v>
      </c>
      <c r="M61" s="25">
        <f t="shared" si="5"/>
        <v>0</v>
      </c>
      <c r="N61" s="25">
        <f t="shared" si="5"/>
        <v>37565988.795771018</v>
      </c>
      <c r="O61" s="18">
        <f t="shared" si="5"/>
        <v>0</v>
      </c>
    </row>
    <row r="62" spans="1:15" hidden="1" x14ac:dyDescent="0.25">
      <c r="F62" s="18"/>
    </row>
    <row r="63" spans="1:15" hidden="1" x14ac:dyDescent="0.25">
      <c r="F63" s="18">
        <f>SUM(F46)</f>
        <v>0</v>
      </c>
    </row>
    <row r="64" spans="1:15" hidden="1" x14ac:dyDescent="0.25">
      <c r="F64" s="18"/>
    </row>
    <row r="65" spans="1:14" hidden="1" x14ac:dyDescent="0.25">
      <c r="F65" s="18"/>
    </row>
    <row r="66" spans="1:14" x14ac:dyDescent="0.25">
      <c r="F66" s="18"/>
    </row>
    <row r="67" spans="1:14" x14ac:dyDescent="0.25">
      <c r="A67" s="16">
        <v>33600</v>
      </c>
      <c r="C67" s="16" t="s">
        <v>269</v>
      </c>
      <c r="F67" s="18">
        <v>1079308.7666374999</v>
      </c>
      <c r="H67" s="17">
        <v>761626.78512392368</v>
      </c>
      <c r="J67" s="18">
        <f t="shared" ref="J67:J69" si="6">+H67-F67</f>
        <v>-317681.98151357623</v>
      </c>
      <c r="N67" s="24">
        <f t="shared" ref="N67:N69" si="7">+F67+L67</f>
        <v>1079308.7666374999</v>
      </c>
    </row>
    <row r="68" spans="1:14" x14ac:dyDescent="0.25">
      <c r="A68" s="16">
        <v>33601</v>
      </c>
      <c r="C68" s="16" t="s">
        <v>59</v>
      </c>
      <c r="F68" s="18">
        <v>4351568.1776400004</v>
      </c>
      <c r="H68" s="17">
        <v>3566859.1619999995</v>
      </c>
      <c r="J68" s="18">
        <f t="shared" si="6"/>
        <v>-784709.01564000081</v>
      </c>
      <c r="N68" s="24">
        <f t="shared" si="7"/>
        <v>4351568.1776400004</v>
      </c>
    </row>
    <row r="69" spans="1:14" x14ac:dyDescent="0.25">
      <c r="A69" s="16">
        <v>36400</v>
      </c>
      <c r="C69" s="16" t="s">
        <v>270</v>
      </c>
      <c r="F69" s="18">
        <v>79584.682884999987</v>
      </c>
      <c r="H69" s="17">
        <v>70509.870227827516</v>
      </c>
      <c r="J69" s="18">
        <f t="shared" si="6"/>
        <v>-9074.8126571724715</v>
      </c>
      <c r="N69" s="24">
        <f t="shared" si="7"/>
        <v>79584.682884999987</v>
      </c>
    </row>
    <row r="70" spans="1:14" x14ac:dyDescent="0.25">
      <c r="C70" s="28" t="s">
        <v>60</v>
      </c>
      <c r="F70" s="18">
        <f>SUM(F67:F69)</f>
        <v>5510461.6271625003</v>
      </c>
      <c r="H70" s="17">
        <v>4398995.817351751</v>
      </c>
      <c r="I70" s="18">
        <f t="shared" ref="I70:N70" si="8">SUM(I67:I69)</f>
        <v>0</v>
      </c>
      <c r="J70" s="18">
        <f t="shared" si="8"/>
        <v>-1111465.8098107495</v>
      </c>
      <c r="K70" s="18">
        <f t="shared" si="8"/>
        <v>0</v>
      </c>
      <c r="L70" s="18">
        <f t="shared" si="8"/>
        <v>0</v>
      </c>
      <c r="M70" s="18">
        <f t="shared" si="8"/>
        <v>0</v>
      </c>
      <c r="N70" s="18">
        <f t="shared" si="8"/>
        <v>5510461.6271625003</v>
      </c>
    </row>
    <row r="71" spans="1:14" x14ac:dyDescent="0.25">
      <c r="F71" s="18"/>
    </row>
    <row r="72" spans="1:14" x14ac:dyDescent="0.25">
      <c r="C72" s="16" t="s">
        <v>271</v>
      </c>
      <c r="F72" s="18">
        <f>+F70+F61+F37+F18</f>
        <v>947898364.76582873</v>
      </c>
      <c r="H72" s="17">
        <v>794264167.17546523</v>
      </c>
      <c r="I72" s="18">
        <f t="shared" ref="I72:M72" si="9">+I70+I61+I37+I18</f>
        <v>0</v>
      </c>
      <c r="J72" s="18">
        <f t="shared" si="9"/>
        <v>-153273853.56228673</v>
      </c>
      <c r="K72" s="18">
        <f t="shared" si="9"/>
        <v>0</v>
      </c>
      <c r="L72" s="18">
        <f t="shared" si="9"/>
        <v>-33999999.999999993</v>
      </c>
      <c r="M72" s="18">
        <f t="shared" si="9"/>
        <v>0</v>
      </c>
      <c r="N72" s="18">
        <f>+N70+N61+N37+N18</f>
        <v>913898364.76582873</v>
      </c>
    </row>
    <row r="73" spans="1:14" x14ac:dyDescent="0.25">
      <c r="F73" s="18"/>
    </row>
    <row r="74" spans="1:14" hidden="1" x14ac:dyDescent="0.25">
      <c r="F74" s="18"/>
    </row>
    <row r="75" spans="1:14" x14ac:dyDescent="0.25">
      <c r="F75" s="18"/>
    </row>
    <row r="76" spans="1:14" x14ac:dyDescent="0.25">
      <c r="A76" s="16">
        <v>30100</v>
      </c>
      <c r="C76" s="16" t="s">
        <v>272</v>
      </c>
      <c r="F76" s="18"/>
      <c r="N76" s="18">
        <v>0</v>
      </c>
    </row>
    <row r="77" spans="1:14" x14ac:dyDescent="0.25">
      <c r="A77" s="16">
        <v>37400</v>
      </c>
      <c r="C77" s="16" t="s">
        <v>5</v>
      </c>
      <c r="F77" s="18">
        <v>-60224.6</v>
      </c>
      <c r="N77" s="24">
        <f t="shared" ref="N77:N83" si="10">+F77</f>
        <v>-60224.6</v>
      </c>
    </row>
    <row r="78" spans="1:14" x14ac:dyDescent="0.25">
      <c r="A78" s="16">
        <v>11501</v>
      </c>
      <c r="C78" s="16" t="s">
        <v>273</v>
      </c>
      <c r="F78" s="18">
        <v>5028152.9800000144</v>
      </c>
      <c r="N78" s="24">
        <f t="shared" si="10"/>
        <v>5028152.9800000144</v>
      </c>
    </row>
    <row r="79" spans="1:14" x14ac:dyDescent="0.25">
      <c r="A79" s="16">
        <v>10500</v>
      </c>
      <c r="C79" s="16" t="s">
        <v>274</v>
      </c>
      <c r="F79" s="18">
        <v>0</v>
      </c>
      <c r="N79" s="24">
        <f t="shared" si="10"/>
        <v>0</v>
      </c>
    </row>
    <row r="80" spans="1:14" x14ac:dyDescent="0.25">
      <c r="F80" s="18"/>
      <c r="N80" s="24">
        <f t="shared" si="10"/>
        <v>0</v>
      </c>
    </row>
    <row r="81" spans="3:14" ht="15.75" thickBot="1" x14ac:dyDescent="0.3">
      <c r="C81" s="16" t="s">
        <v>275</v>
      </c>
      <c r="F81" s="29">
        <f>SUM(F72:F80)</f>
        <v>952866293.14582872</v>
      </c>
      <c r="G81" s="30"/>
      <c r="H81" s="31"/>
      <c r="I81" s="29"/>
      <c r="J81" s="29"/>
      <c r="K81" s="30"/>
      <c r="L81" s="30"/>
      <c r="M81" s="30"/>
      <c r="N81" s="29">
        <f>SUM(N72:N80)</f>
        <v>918866293.14582872</v>
      </c>
    </row>
    <row r="82" spans="3:14" ht="15.75" thickTop="1" x14ac:dyDescent="0.25">
      <c r="F82" s="18">
        <v>952866293.14582837</v>
      </c>
      <c r="N82" s="24">
        <f>+F82+L72</f>
        <v>918866293.14582837</v>
      </c>
    </row>
    <row r="83" spans="3:14" x14ac:dyDescent="0.25">
      <c r="F83" s="18">
        <f>+F81-F82</f>
        <v>0</v>
      </c>
      <c r="N83" s="24">
        <f t="shared" si="10"/>
        <v>0</v>
      </c>
    </row>
    <row r="84" spans="3:14" x14ac:dyDescent="0.25">
      <c r="F84" s="18"/>
      <c r="N84" s="24"/>
    </row>
    <row r="85" spans="3:14" x14ac:dyDescent="0.25">
      <c r="F85" s="18"/>
      <c r="N85" s="24"/>
    </row>
    <row r="86" spans="3:14" x14ac:dyDescent="0.25">
      <c r="F86" s="18"/>
      <c r="N86" s="24"/>
    </row>
    <row r="87" spans="3:14" x14ac:dyDescent="0.25">
      <c r="F87" s="18"/>
    </row>
    <row r="88" spans="3:14" x14ac:dyDescent="0.25">
      <c r="F88" s="18"/>
    </row>
    <row r="89" spans="3:14" x14ac:dyDescent="0.25">
      <c r="F89" s="18"/>
    </row>
    <row r="90" spans="3:14" x14ac:dyDescent="0.25">
      <c r="F90" s="18"/>
    </row>
    <row r="91" spans="3:14" x14ac:dyDescent="0.25">
      <c r="F91" s="18"/>
    </row>
    <row r="384" spans="11:11" x14ac:dyDescent="0.25">
      <c r="K384" s="24"/>
    </row>
  </sheetData>
  <pageMargins left="0.7" right="0.7" top="0.75" bottom="0.75" header="0.3" footer="0.3"/>
  <pageSetup scale="50" orientation="landscape" horizontalDpi="90" verticalDpi="90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332EB-392B-45A7-9428-9360A123A380}">
  <dimension ref="A1:V95"/>
  <sheetViews>
    <sheetView zoomScale="80" zoomScaleNormal="80" workbookViewId="0">
      <selection activeCell="M35" sqref="M35"/>
    </sheetView>
  </sheetViews>
  <sheetFormatPr defaultRowHeight="15" x14ac:dyDescent="0.25"/>
  <cols>
    <col min="1" max="1" width="10" customWidth="1"/>
    <col min="2" max="2" width="15.85546875" customWidth="1"/>
    <col min="3" max="16" width="11.85546875" customWidth="1"/>
    <col min="17" max="17" width="8.140625" customWidth="1"/>
    <col min="21" max="21" width="15.140625" bestFit="1" customWidth="1"/>
  </cols>
  <sheetData>
    <row r="1" spans="1:17" x14ac:dyDescent="0.25">
      <c r="A1" s="117" t="s">
        <v>139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7" x14ac:dyDescent="0.25">
      <c r="A2" s="117" t="s">
        <v>196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x14ac:dyDescent="0.25">
      <c r="A3" s="117" t="s">
        <v>225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5" spans="1:17" x14ac:dyDescent="0.25">
      <c r="B5" s="6" t="s">
        <v>140</v>
      </c>
    </row>
    <row r="6" spans="1:17" x14ac:dyDescent="0.25">
      <c r="C6" s="33">
        <v>2023</v>
      </c>
      <c r="D6" s="33">
        <v>2024</v>
      </c>
      <c r="E6" s="33">
        <v>2024</v>
      </c>
      <c r="F6" s="33">
        <v>2024</v>
      </c>
      <c r="G6" s="33">
        <v>2024</v>
      </c>
      <c r="H6" s="33">
        <v>2024</v>
      </c>
      <c r="I6" s="33">
        <v>2024</v>
      </c>
      <c r="J6" s="33">
        <v>2024</v>
      </c>
      <c r="K6" s="33">
        <v>2024</v>
      </c>
      <c r="L6" s="33">
        <v>2024</v>
      </c>
      <c r="M6" s="33">
        <v>2024</v>
      </c>
      <c r="N6" s="33">
        <v>2024</v>
      </c>
      <c r="O6" s="33">
        <v>2024</v>
      </c>
      <c r="P6" s="33">
        <v>2024</v>
      </c>
    </row>
    <row r="7" spans="1:17" x14ac:dyDescent="0.25">
      <c r="A7" s="90" t="s">
        <v>189</v>
      </c>
      <c r="C7" s="65" t="s">
        <v>141</v>
      </c>
      <c r="D7" s="65" t="s">
        <v>142</v>
      </c>
      <c r="E7" s="65" t="s">
        <v>143</v>
      </c>
      <c r="F7" s="65" t="s">
        <v>144</v>
      </c>
      <c r="G7" s="65" t="s">
        <v>145</v>
      </c>
      <c r="H7" s="65" t="s">
        <v>146</v>
      </c>
      <c r="I7" s="65" t="s">
        <v>147</v>
      </c>
      <c r="J7" s="65" t="s">
        <v>148</v>
      </c>
      <c r="K7" s="65" t="s">
        <v>149</v>
      </c>
      <c r="L7" s="65" t="s">
        <v>150</v>
      </c>
      <c r="M7" s="65" t="s">
        <v>151</v>
      </c>
      <c r="N7" s="65" t="s">
        <v>152</v>
      </c>
      <c r="O7" s="65" t="s">
        <v>141</v>
      </c>
      <c r="P7" s="66" t="s">
        <v>153</v>
      </c>
    </row>
    <row r="8" spans="1:17" x14ac:dyDescent="0.25">
      <c r="A8" s="90" t="s">
        <v>190</v>
      </c>
      <c r="B8" t="s">
        <v>154</v>
      </c>
      <c r="C8" s="67">
        <v>2151949.73</v>
      </c>
      <c r="D8" s="68">
        <v>2155116.36</v>
      </c>
      <c r="E8" s="68">
        <v>2158283.0299999998</v>
      </c>
      <c r="F8" s="68">
        <v>2161449.6999999997</v>
      </c>
      <c r="G8" s="68">
        <v>2164616.3699999996</v>
      </c>
      <c r="H8" s="68">
        <v>2167783.0399999996</v>
      </c>
      <c r="I8" s="68">
        <v>2170949.7099999995</v>
      </c>
      <c r="J8" s="68">
        <v>2174116.3799999994</v>
      </c>
      <c r="K8" s="68">
        <v>2177283.0499999993</v>
      </c>
      <c r="L8" s="68">
        <v>2182949.7199999993</v>
      </c>
      <c r="M8" s="68">
        <v>2186116.3899999992</v>
      </c>
      <c r="N8" s="68">
        <v>2189283.0599999991</v>
      </c>
      <c r="O8" s="68">
        <v>2192449.7299999991</v>
      </c>
      <c r="P8" s="68">
        <f>AVERAGE(C8:O8)</f>
        <v>2171718.9438461536</v>
      </c>
    </row>
    <row r="9" spans="1:17" x14ac:dyDescent="0.25">
      <c r="A9" s="90" t="s">
        <v>191</v>
      </c>
      <c r="B9" t="s">
        <v>55</v>
      </c>
      <c r="C9" s="69">
        <v>1114167.3792016271</v>
      </c>
      <c r="D9" s="70">
        <v>1125465.1152841272</v>
      </c>
      <c r="E9" s="70">
        <v>1136779.4761741271</v>
      </c>
      <c r="F9" s="70">
        <v>1148110.462081627</v>
      </c>
      <c r="G9" s="70">
        <v>1159458.0730066269</v>
      </c>
      <c r="H9" s="70">
        <v>1170822.3089491269</v>
      </c>
      <c r="I9" s="70">
        <v>1182203.1699091268</v>
      </c>
      <c r="J9" s="70">
        <v>1193600.6558866268</v>
      </c>
      <c r="K9" s="70">
        <v>1205014.7668816268</v>
      </c>
      <c r="L9" s="70">
        <v>1216445.5028941268</v>
      </c>
      <c r="M9" s="70">
        <v>1227905.9889241268</v>
      </c>
      <c r="N9" s="70">
        <v>1239383.0999716269</v>
      </c>
      <c r="O9" s="70">
        <v>1250876.8360366269</v>
      </c>
      <c r="P9" s="70">
        <f>AVERAGE(C9:O9)</f>
        <v>1182325.6027077807</v>
      </c>
    </row>
    <row r="10" spans="1:17" x14ac:dyDescent="0.25">
      <c r="B10" t="s">
        <v>155</v>
      </c>
      <c r="C10" s="68">
        <f>+C8-C9</f>
        <v>1037782.3507983729</v>
      </c>
      <c r="D10" s="68">
        <f t="shared" ref="D10:P10" si="0">+D8-D9</f>
        <v>1029651.2447158727</v>
      </c>
      <c r="E10" s="68">
        <f t="shared" si="0"/>
        <v>1021503.5538258727</v>
      </c>
      <c r="F10" s="68">
        <f t="shared" si="0"/>
        <v>1013339.2379183727</v>
      </c>
      <c r="G10" s="68">
        <f t="shared" si="0"/>
        <v>1005158.2969933727</v>
      </c>
      <c r="H10" s="68">
        <f t="shared" si="0"/>
        <v>996960.73105087271</v>
      </c>
      <c r="I10" s="68">
        <f t="shared" si="0"/>
        <v>988746.54009087267</v>
      </c>
      <c r="J10" s="68">
        <f t="shared" si="0"/>
        <v>980515.72411337262</v>
      </c>
      <c r="K10" s="68">
        <f t="shared" si="0"/>
        <v>972268.28311837255</v>
      </c>
      <c r="L10" s="68">
        <f t="shared" si="0"/>
        <v>966504.21710587246</v>
      </c>
      <c r="M10" s="68">
        <f t="shared" si="0"/>
        <v>958210.40107587236</v>
      </c>
      <c r="N10" s="68">
        <f t="shared" si="0"/>
        <v>949899.96002837224</v>
      </c>
      <c r="O10" s="68">
        <f t="shared" si="0"/>
        <v>941572.8939633721</v>
      </c>
      <c r="P10" s="68">
        <f t="shared" si="0"/>
        <v>989393.3411383729</v>
      </c>
      <c r="Q10" t="s">
        <v>156</v>
      </c>
    </row>
    <row r="11" spans="1:17" x14ac:dyDescent="0.25"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7" x14ac:dyDescent="0.25">
      <c r="B12" t="s">
        <v>157</v>
      </c>
      <c r="D12" s="68">
        <f t="shared" ref="D12:O12" si="1">+C8*$C13/12</f>
        <v>11297.7360825</v>
      </c>
      <c r="E12" s="68">
        <f t="shared" si="1"/>
        <v>11314.360889999998</v>
      </c>
      <c r="F12" s="68">
        <f t="shared" si="1"/>
        <v>11330.985907499999</v>
      </c>
      <c r="G12" s="68">
        <f t="shared" si="1"/>
        <v>11347.610924999999</v>
      </c>
      <c r="H12" s="68">
        <f t="shared" si="1"/>
        <v>11364.235942499998</v>
      </c>
      <c r="I12" s="68">
        <f t="shared" si="1"/>
        <v>11380.860959999998</v>
      </c>
      <c r="J12" s="68">
        <f t="shared" si="1"/>
        <v>11397.485977499999</v>
      </c>
      <c r="K12" s="68">
        <f t="shared" si="1"/>
        <v>11414.110994999997</v>
      </c>
      <c r="L12" s="68">
        <f t="shared" si="1"/>
        <v>11430.736012499998</v>
      </c>
      <c r="M12" s="68">
        <f t="shared" si="1"/>
        <v>11460.486029999995</v>
      </c>
      <c r="N12" s="68">
        <f t="shared" si="1"/>
        <v>11477.111047499995</v>
      </c>
      <c r="O12" s="68">
        <f t="shared" si="1"/>
        <v>11493.736064999996</v>
      </c>
      <c r="P12" s="68">
        <f>SUM(D12:O12)</f>
        <v>136709.45683499996</v>
      </c>
      <c r="Q12" t="s">
        <v>158</v>
      </c>
    </row>
    <row r="13" spans="1:17" x14ac:dyDescent="0.25">
      <c r="B13" t="s">
        <v>159</v>
      </c>
      <c r="C13" s="71">
        <v>6.3E-2</v>
      </c>
    </row>
    <row r="15" spans="1:17" x14ac:dyDescent="0.25">
      <c r="B15" s="6" t="s">
        <v>160</v>
      </c>
    </row>
    <row r="16" spans="1:17" x14ac:dyDescent="0.25">
      <c r="C16" s="33">
        <v>2023</v>
      </c>
      <c r="D16" s="33">
        <v>2024</v>
      </c>
      <c r="E16" s="33">
        <v>2024</v>
      </c>
      <c r="F16" s="33">
        <v>2024</v>
      </c>
      <c r="G16" s="33">
        <v>2024</v>
      </c>
      <c r="H16" s="33">
        <v>2024</v>
      </c>
      <c r="I16" s="33">
        <v>2024</v>
      </c>
      <c r="J16" s="33">
        <v>2024</v>
      </c>
      <c r="K16" s="33">
        <v>2024</v>
      </c>
      <c r="L16" s="33">
        <v>2024</v>
      </c>
      <c r="M16" s="33">
        <v>2024</v>
      </c>
      <c r="N16" s="33">
        <v>2024</v>
      </c>
      <c r="O16" s="33">
        <v>2024</v>
      </c>
      <c r="P16" s="33">
        <v>2024</v>
      </c>
    </row>
    <row r="17" spans="1:17" x14ac:dyDescent="0.25">
      <c r="C17" s="65" t="s">
        <v>141</v>
      </c>
      <c r="D17" s="65" t="s">
        <v>142</v>
      </c>
      <c r="E17" s="65" t="s">
        <v>143</v>
      </c>
      <c r="F17" s="65" t="s">
        <v>144</v>
      </c>
      <c r="G17" s="65" t="s">
        <v>145</v>
      </c>
      <c r="H17" s="65" t="s">
        <v>146</v>
      </c>
      <c r="I17" s="65" t="s">
        <v>147</v>
      </c>
      <c r="J17" s="65" t="s">
        <v>148</v>
      </c>
      <c r="K17" s="65" t="s">
        <v>149</v>
      </c>
      <c r="L17" s="65" t="s">
        <v>150</v>
      </c>
      <c r="M17" s="65" t="s">
        <v>151</v>
      </c>
      <c r="N17" s="65" t="s">
        <v>152</v>
      </c>
      <c r="O17" s="65" t="s">
        <v>141</v>
      </c>
      <c r="P17" s="66" t="s">
        <v>153</v>
      </c>
    </row>
    <row r="18" spans="1:17" x14ac:dyDescent="0.25">
      <c r="B18" t="s">
        <v>154</v>
      </c>
      <c r="C18" s="67">
        <v>2151949.73</v>
      </c>
      <c r="D18" s="68">
        <v>2155116.36</v>
      </c>
      <c r="E18" s="68">
        <v>2158283.0299999998</v>
      </c>
      <c r="F18" s="68">
        <v>2161449.6999999997</v>
      </c>
      <c r="G18" s="68">
        <v>2164616.3699999996</v>
      </c>
      <c r="H18" s="68">
        <v>2167783.0399999996</v>
      </c>
      <c r="I18" s="68">
        <v>2170949.7099999995</v>
      </c>
      <c r="J18" s="68">
        <v>2174116.3799999994</v>
      </c>
      <c r="K18" s="68">
        <v>2177283.0499999993</v>
      </c>
      <c r="L18" s="68">
        <v>2182949.7199999993</v>
      </c>
      <c r="M18" s="68">
        <v>2186116.3899999992</v>
      </c>
      <c r="N18" s="68">
        <v>2189283.0599999991</v>
      </c>
      <c r="O18" s="68">
        <v>2192449.7299999991</v>
      </c>
      <c r="P18" s="68">
        <f>AVERAGE(C18:O18)</f>
        <v>2171718.9438461536</v>
      </c>
    </row>
    <row r="19" spans="1:17" x14ac:dyDescent="0.25">
      <c r="B19" t="s">
        <v>55</v>
      </c>
      <c r="C19" s="69">
        <f>+C9</f>
        <v>1114167.3792016271</v>
      </c>
      <c r="D19" s="70">
        <f>+D9-SUM($D12:D12)+SUM($D22:D22)</f>
        <v>1123313.1655541272</v>
      </c>
      <c r="E19" s="70">
        <f>+E9-SUM($D12:E12)+SUM($D22:E22)</f>
        <v>1132472.410084127</v>
      </c>
      <c r="F19" s="70">
        <f>+F9-SUM($D12:F12)+SUM($D22:F22)</f>
        <v>1141645.1129616271</v>
      </c>
      <c r="G19" s="70">
        <f>+G9-SUM($D12:G12)+SUM($D22:G22)</f>
        <v>1150831.2741866268</v>
      </c>
      <c r="H19" s="70">
        <f>+H9-SUM($D12:H12)+SUM($D22:H22)</f>
        <v>1160030.8937591268</v>
      </c>
      <c r="I19" s="70">
        <f>+I9-SUM($D12:I12)+SUM($D22:I22)</f>
        <v>1169243.9716791268</v>
      </c>
      <c r="J19" s="70">
        <f>+J9-SUM($D12:J12)+SUM($D22:J22)</f>
        <v>1178470.5079466267</v>
      </c>
      <c r="K19" s="70">
        <f>+K9-SUM($D12:K12)+SUM($D22:K22)</f>
        <v>1187710.502561627</v>
      </c>
      <c r="L19" s="70">
        <f>+L9-SUM($D12:L12)+SUM($D22:L22)</f>
        <v>1196963.9555241268</v>
      </c>
      <c r="M19" s="70">
        <f>+M9-SUM($D12:M12)+SUM($D22:M22)</f>
        <v>1206241.4918341269</v>
      </c>
      <c r="N19" s="70">
        <f>+N9-SUM($D12:N12)+SUM($D22:N22)</f>
        <v>1215532.4864916268</v>
      </c>
      <c r="O19" s="70">
        <f>+O9-SUM($D12:O12)+SUM($D22:O22)</f>
        <v>1224836.9394966268</v>
      </c>
      <c r="P19" s="70">
        <f>AVERAGE(C19:O19)</f>
        <v>1169343.0839447037</v>
      </c>
    </row>
    <row r="20" spans="1:17" x14ac:dyDescent="0.25">
      <c r="B20" t="s">
        <v>155</v>
      </c>
      <c r="C20" s="68">
        <f>+C18-C19</f>
        <v>1037782.3507983729</v>
      </c>
      <c r="D20" s="68">
        <f t="shared" ref="D20" si="2">+D18-D19</f>
        <v>1031803.1944458727</v>
      </c>
      <c r="E20" s="68">
        <f t="shared" ref="E20" si="3">+E18-E19</f>
        <v>1025810.6199158728</v>
      </c>
      <c r="F20" s="68">
        <f t="shared" ref="F20" si="4">+F18-F19</f>
        <v>1019804.5870383726</v>
      </c>
      <c r="G20" s="68">
        <f t="shared" ref="G20" si="5">+G18-G19</f>
        <v>1013785.0958133729</v>
      </c>
      <c r="H20" s="68">
        <f t="shared" ref="H20" si="6">+H18-H19</f>
        <v>1007752.1462408728</v>
      </c>
      <c r="I20" s="68">
        <f t="shared" ref="I20" si="7">+I18-I19</f>
        <v>1001705.7383208727</v>
      </c>
      <c r="J20" s="68">
        <f t="shared" ref="J20" si="8">+J18-J19</f>
        <v>995645.87205337267</v>
      </c>
      <c r="K20" s="68">
        <f t="shared" ref="K20" si="9">+K18-K19</f>
        <v>989572.54743837239</v>
      </c>
      <c r="L20" s="68">
        <f t="shared" ref="L20" si="10">+L18-L19</f>
        <v>985985.76447587251</v>
      </c>
      <c r="M20" s="68">
        <f t="shared" ref="M20" si="11">+M18-M19</f>
        <v>979874.89816587232</v>
      </c>
      <c r="N20" s="68">
        <f t="shared" ref="N20" si="12">+N18-N19</f>
        <v>973750.5735083723</v>
      </c>
      <c r="O20" s="68">
        <f t="shared" ref="O20" si="13">+O18-O19</f>
        <v>967612.79050337221</v>
      </c>
      <c r="P20" s="68">
        <f t="shared" ref="P20" si="14">+P18-P19</f>
        <v>1002375.8599014499</v>
      </c>
      <c r="Q20" t="s">
        <v>161</v>
      </c>
    </row>
    <row r="21" spans="1:17" x14ac:dyDescent="0.25"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1:17" x14ac:dyDescent="0.25">
      <c r="B22" t="s">
        <v>157</v>
      </c>
      <c r="D22" s="68">
        <f>+C18*$C23/12</f>
        <v>9145.7863524999993</v>
      </c>
      <c r="E22" s="68">
        <f t="shared" ref="E22" si="15">+D18*$C23/12</f>
        <v>9159.2445299999981</v>
      </c>
      <c r="F22" s="68">
        <f t="shared" ref="F22" si="16">+E18*$C23/12</f>
        <v>9172.7028774999981</v>
      </c>
      <c r="G22" s="68">
        <f t="shared" ref="G22" si="17">+F18*$C23/12</f>
        <v>9186.161224999998</v>
      </c>
      <c r="H22" s="68">
        <f t="shared" ref="H22" si="18">+G18*$C23/12</f>
        <v>9199.619572499998</v>
      </c>
      <c r="I22" s="68">
        <f t="shared" ref="I22" si="19">+H18*$C23/12</f>
        <v>9213.0779199999979</v>
      </c>
      <c r="J22" s="68">
        <f t="shared" ref="J22" si="20">+I18*$C23/12</f>
        <v>9226.5362674999978</v>
      </c>
      <c r="K22" s="68">
        <f t="shared" ref="K22" si="21">+J18*$C23/12</f>
        <v>9239.9946149999978</v>
      </c>
      <c r="L22" s="68">
        <f t="shared" ref="L22" si="22">+K18*$C23/12</f>
        <v>9253.4529624999977</v>
      </c>
      <c r="M22" s="68">
        <f t="shared" ref="M22" si="23">+L18*$C23/12</f>
        <v>9277.5363099999959</v>
      </c>
      <c r="N22" s="68">
        <f t="shared" ref="N22" si="24">+M18*$C23/12</f>
        <v>9290.9946574999958</v>
      </c>
      <c r="O22" s="68">
        <f t="shared" ref="O22" si="25">+N18*$C23/12</f>
        <v>9304.4530049999958</v>
      </c>
      <c r="P22" s="68">
        <f>SUM(D22:O22)</f>
        <v>110669.56029499997</v>
      </c>
      <c r="Q22" t="s">
        <v>162</v>
      </c>
    </row>
    <row r="23" spans="1:17" ht="15.75" thickBot="1" x14ac:dyDescent="0.3">
      <c r="A23" s="92"/>
      <c r="B23" s="92" t="s">
        <v>159</v>
      </c>
      <c r="C23" s="93">
        <v>5.0999999999999997E-2</v>
      </c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</row>
    <row r="24" spans="1:17" x14ac:dyDescent="0.25">
      <c r="C24" s="71"/>
    </row>
    <row r="25" spans="1:17" x14ac:dyDescent="0.25">
      <c r="B25" s="6" t="s">
        <v>187</v>
      </c>
    </row>
    <row r="26" spans="1:17" x14ac:dyDescent="0.25">
      <c r="C26" s="33">
        <v>2023</v>
      </c>
      <c r="D26" s="33">
        <v>2024</v>
      </c>
      <c r="E26" s="33">
        <v>2024</v>
      </c>
      <c r="F26" s="33">
        <v>2024</v>
      </c>
      <c r="G26" s="33">
        <v>2024</v>
      </c>
      <c r="H26" s="33">
        <v>2024</v>
      </c>
      <c r="I26" s="33">
        <v>2024</v>
      </c>
      <c r="J26" s="33">
        <v>2024</v>
      </c>
      <c r="K26" s="33">
        <v>2024</v>
      </c>
      <c r="L26" s="33">
        <v>2024</v>
      </c>
      <c r="M26" s="33">
        <v>2024</v>
      </c>
      <c r="N26" s="33">
        <v>2024</v>
      </c>
      <c r="O26" s="33">
        <v>2024</v>
      </c>
      <c r="P26" s="33">
        <v>2024</v>
      </c>
    </row>
    <row r="27" spans="1:17" x14ac:dyDescent="0.25">
      <c r="A27" s="90" t="s">
        <v>189</v>
      </c>
      <c r="C27" s="65" t="s">
        <v>141</v>
      </c>
      <c r="D27" s="65" t="s">
        <v>142</v>
      </c>
      <c r="E27" s="65" t="s">
        <v>143</v>
      </c>
      <c r="F27" s="65" t="s">
        <v>144</v>
      </c>
      <c r="G27" s="65" t="s">
        <v>145</v>
      </c>
      <c r="H27" s="65" t="s">
        <v>146</v>
      </c>
      <c r="I27" s="65" t="s">
        <v>147</v>
      </c>
      <c r="J27" s="65" t="s">
        <v>148</v>
      </c>
      <c r="K27" s="65" t="s">
        <v>149</v>
      </c>
      <c r="L27" s="65" t="s">
        <v>150</v>
      </c>
      <c r="M27" s="65" t="s">
        <v>151</v>
      </c>
      <c r="N27" s="65" t="s">
        <v>152</v>
      </c>
      <c r="O27" s="65" t="s">
        <v>141</v>
      </c>
      <c r="P27" s="66" t="s">
        <v>153</v>
      </c>
    </row>
    <row r="28" spans="1:17" x14ac:dyDescent="0.25">
      <c r="A28" s="90" t="s">
        <v>190</v>
      </c>
      <c r="B28" t="s">
        <v>154</v>
      </c>
      <c r="C28" s="67">
        <v>5932305.8574910183</v>
      </c>
      <c r="D28" s="68">
        <v>5958170.9954982037</v>
      </c>
      <c r="E28" s="68">
        <v>5986416.6950996406</v>
      </c>
      <c r="F28" s="68">
        <v>6013098.1070199283</v>
      </c>
      <c r="G28" s="68">
        <v>6040706.4614039855</v>
      </c>
      <c r="H28" s="68">
        <v>6066319.804280797</v>
      </c>
      <c r="I28" s="68">
        <v>6245382.1448561596</v>
      </c>
      <c r="J28" s="68">
        <v>6271416.4849712318</v>
      </c>
      <c r="K28" s="68">
        <v>6296989.8249942465</v>
      </c>
      <c r="L28" s="68">
        <v>6336255.1649988489</v>
      </c>
      <c r="M28" s="68">
        <v>6361727.5049997699</v>
      </c>
      <c r="N28" s="68">
        <v>6388077.8449999541</v>
      </c>
      <c r="O28" s="68">
        <v>6423957.1449999912</v>
      </c>
      <c r="P28" s="68">
        <f>AVERAGE(C28:O28)</f>
        <v>6178524.9258164447</v>
      </c>
    </row>
    <row r="29" spans="1:17" x14ac:dyDescent="0.25">
      <c r="A29" s="90" t="s">
        <v>191</v>
      </c>
      <c r="B29" t="s">
        <v>55</v>
      </c>
      <c r="C29" s="69">
        <v>3431578.3103643847</v>
      </c>
      <c r="D29" s="70">
        <v>3471615.1149024493</v>
      </c>
      <c r="E29" s="70">
        <v>3511826.5091220625</v>
      </c>
      <c r="F29" s="70">
        <v>3552228.5618139855</v>
      </c>
      <c r="G29" s="70">
        <v>3592810.7140363702</v>
      </c>
      <c r="H29" s="70">
        <v>3633579.2226508474</v>
      </c>
      <c r="I29" s="70">
        <v>3674520.6213297429</v>
      </c>
      <c r="J29" s="70">
        <v>3716670.6908075223</v>
      </c>
      <c r="K29" s="70">
        <v>3758996.4920810782</v>
      </c>
      <c r="L29" s="70">
        <v>3801494.9133997895</v>
      </c>
      <c r="M29" s="70">
        <v>3844258.3757635318</v>
      </c>
      <c r="N29" s="70">
        <v>3887193.7764222804</v>
      </c>
      <c r="O29" s="70">
        <v>3930307.0418760302</v>
      </c>
      <c r="P29" s="70">
        <f>AVERAGE(C29:O29)</f>
        <v>3677467.7188130836</v>
      </c>
    </row>
    <row r="30" spans="1:17" x14ac:dyDescent="0.25">
      <c r="B30" t="s">
        <v>155</v>
      </c>
      <c r="C30" s="68">
        <f>+C28-C29</f>
        <v>2500727.5471266336</v>
      </c>
      <c r="D30" s="68">
        <f t="shared" ref="D30" si="26">+D28-D29</f>
        <v>2486555.8805957544</v>
      </c>
      <c r="E30" s="68">
        <f t="shared" ref="E30" si="27">+E28-E29</f>
        <v>2474590.1859775782</v>
      </c>
      <c r="F30" s="68">
        <f t="shared" ref="F30" si="28">+F28-F29</f>
        <v>2460869.5452059428</v>
      </c>
      <c r="G30" s="68">
        <f t="shared" ref="G30" si="29">+G28-G29</f>
        <v>2447895.7473676153</v>
      </c>
      <c r="H30" s="68">
        <f t="shared" ref="H30" si="30">+H28-H29</f>
        <v>2432740.5816299496</v>
      </c>
      <c r="I30" s="68">
        <f t="shared" ref="I30" si="31">+I28-I29</f>
        <v>2570861.5235264166</v>
      </c>
      <c r="J30" s="68">
        <f t="shared" ref="J30" si="32">+J28-J29</f>
        <v>2554745.7941637095</v>
      </c>
      <c r="K30" s="68">
        <f t="shared" ref="K30" si="33">+K28-K29</f>
        <v>2537993.3329131682</v>
      </c>
      <c r="L30" s="68">
        <f t="shared" ref="L30" si="34">+L28-L29</f>
        <v>2534760.2515990594</v>
      </c>
      <c r="M30" s="68">
        <f t="shared" ref="M30" si="35">+M28-M29</f>
        <v>2517469.1292362381</v>
      </c>
      <c r="N30" s="68">
        <f t="shared" ref="N30" si="36">+N28-N29</f>
        <v>2500884.0685776738</v>
      </c>
      <c r="O30" s="68">
        <f t="shared" ref="O30" si="37">+O28-O29</f>
        <v>2493650.103123961</v>
      </c>
      <c r="P30" s="68">
        <f t="shared" ref="P30" si="38">+P28-P29</f>
        <v>2501057.2070033611</v>
      </c>
      <c r="Q30" t="s">
        <v>156</v>
      </c>
    </row>
    <row r="31" spans="1:17" x14ac:dyDescent="0.25"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</row>
    <row r="32" spans="1:17" x14ac:dyDescent="0.25">
      <c r="B32" t="s">
        <v>157</v>
      </c>
      <c r="D32" s="68">
        <f>+C28*$C33/12</f>
        <v>40043.064538064376</v>
      </c>
      <c r="E32" s="68">
        <f t="shared" ref="E32:O32" si="39">+D28*$C33/12</f>
        <v>40217.654219612879</v>
      </c>
      <c r="F32" s="68">
        <f t="shared" si="39"/>
        <v>40408.312691922576</v>
      </c>
      <c r="G32" s="68">
        <f t="shared" si="39"/>
        <v>40588.412222384519</v>
      </c>
      <c r="H32" s="68">
        <f t="shared" si="39"/>
        <v>40774.768614476903</v>
      </c>
      <c r="I32" s="68">
        <f t="shared" si="39"/>
        <v>40947.658678895379</v>
      </c>
      <c r="J32" s="68">
        <f t="shared" si="39"/>
        <v>42156.32947777908</v>
      </c>
      <c r="K32" s="68">
        <f t="shared" si="39"/>
        <v>42332.061273555817</v>
      </c>
      <c r="L32" s="68">
        <f t="shared" si="39"/>
        <v>42504.681318711162</v>
      </c>
      <c r="M32" s="68">
        <f t="shared" si="39"/>
        <v>42769.722363742236</v>
      </c>
      <c r="N32" s="68">
        <f t="shared" si="39"/>
        <v>42941.660658748449</v>
      </c>
      <c r="O32" s="68">
        <f t="shared" si="39"/>
        <v>43119.525453749688</v>
      </c>
      <c r="P32" s="68">
        <f>SUM(D32:O32)</f>
        <v>498803.85151164309</v>
      </c>
      <c r="Q32" t="s">
        <v>158</v>
      </c>
    </row>
    <row r="33" spans="1:17" x14ac:dyDescent="0.25">
      <c r="B33" t="s">
        <v>159</v>
      </c>
      <c r="C33" s="71">
        <v>8.1000000000000003E-2</v>
      </c>
    </row>
    <row r="35" spans="1:17" x14ac:dyDescent="0.25">
      <c r="B35" s="6" t="s">
        <v>188</v>
      </c>
    </row>
    <row r="36" spans="1:17" x14ac:dyDescent="0.25">
      <c r="C36" s="33">
        <v>2023</v>
      </c>
      <c r="D36" s="33">
        <v>2024</v>
      </c>
      <c r="E36" s="33">
        <v>2024</v>
      </c>
      <c r="F36" s="33">
        <v>2024</v>
      </c>
      <c r="G36" s="33">
        <v>2024</v>
      </c>
      <c r="H36" s="33">
        <v>2024</v>
      </c>
      <c r="I36" s="33">
        <v>2024</v>
      </c>
      <c r="J36" s="33">
        <v>2024</v>
      </c>
      <c r="K36" s="33">
        <v>2024</v>
      </c>
      <c r="L36" s="33">
        <v>2024</v>
      </c>
      <c r="M36" s="33">
        <v>2024</v>
      </c>
      <c r="N36" s="33">
        <v>2024</v>
      </c>
      <c r="O36" s="33">
        <v>2024</v>
      </c>
      <c r="P36" s="33">
        <v>2024</v>
      </c>
    </row>
    <row r="37" spans="1:17" x14ac:dyDescent="0.25">
      <c r="C37" s="65" t="s">
        <v>141</v>
      </c>
      <c r="D37" s="65" t="s">
        <v>142</v>
      </c>
      <c r="E37" s="65" t="s">
        <v>143</v>
      </c>
      <c r="F37" s="65" t="s">
        <v>144</v>
      </c>
      <c r="G37" s="65" t="s">
        <v>145</v>
      </c>
      <c r="H37" s="65" t="s">
        <v>146</v>
      </c>
      <c r="I37" s="65" t="s">
        <v>147</v>
      </c>
      <c r="J37" s="65" t="s">
        <v>148</v>
      </c>
      <c r="K37" s="65" t="s">
        <v>149</v>
      </c>
      <c r="L37" s="65" t="s">
        <v>150</v>
      </c>
      <c r="M37" s="65" t="s">
        <v>151</v>
      </c>
      <c r="N37" s="65" t="s">
        <v>152</v>
      </c>
      <c r="O37" s="65" t="s">
        <v>141</v>
      </c>
      <c r="P37" s="66" t="s">
        <v>153</v>
      </c>
    </row>
    <row r="38" spans="1:17" x14ac:dyDescent="0.25">
      <c r="B38" t="s">
        <v>154</v>
      </c>
      <c r="C38" s="67">
        <f>+C28</f>
        <v>5932305.8574910183</v>
      </c>
      <c r="D38" s="67">
        <f t="shared" ref="D38:O38" si="40">+D28</f>
        <v>5958170.9954982037</v>
      </c>
      <c r="E38" s="67">
        <f t="shared" si="40"/>
        <v>5986416.6950996406</v>
      </c>
      <c r="F38" s="67">
        <f t="shared" si="40"/>
        <v>6013098.1070199283</v>
      </c>
      <c r="G38" s="67">
        <f t="shared" si="40"/>
        <v>6040706.4614039855</v>
      </c>
      <c r="H38" s="67">
        <f t="shared" si="40"/>
        <v>6066319.804280797</v>
      </c>
      <c r="I38" s="67">
        <f t="shared" si="40"/>
        <v>6245382.1448561596</v>
      </c>
      <c r="J38" s="67">
        <f t="shared" si="40"/>
        <v>6271416.4849712318</v>
      </c>
      <c r="K38" s="67">
        <f t="shared" si="40"/>
        <v>6296989.8249942465</v>
      </c>
      <c r="L38" s="67">
        <f t="shared" si="40"/>
        <v>6336255.1649988489</v>
      </c>
      <c r="M38" s="67">
        <f t="shared" si="40"/>
        <v>6361727.5049997699</v>
      </c>
      <c r="N38" s="67">
        <f t="shared" si="40"/>
        <v>6388077.8449999541</v>
      </c>
      <c r="O38" s="67">
        <f t="shared" si="40"/>
        <v>6423957.1449999912</v>
      </c>
      <c r="P38" s="68">
        <f>AVERAGE(C38:O38)</f>
        <v>6178524.9258164447</v>
      </c>
    </row>
    <row r="39" spans="1:17" x14ac:dyDescent="0.25">
      <c r="B39" t="s">
        <v>55</v>
      </c>
      <c r="C39" s="69">
        <f>+C29</f>
        <v>3431578.3103643847</v>
      </c>
      <c r="D39" s="70">
        <f>+D29-SUM($D32:D32)+SUM($D42:D42)</f>
        <v>3471120.7560809916</v>
      </c>
      <c r="E39" s="70">
        <f>+E29-SUM($D32:E32)+SUM($D42:E42)</f>
        <v>3510835.6360509801</v>
      </c>
      <c r="F39" s="70">
        <f>+F29-SUM($D32:F32)+SUM($D42:F42)</f>
        <v>3550738.8206849783</v>
      </c>
      <c r="G39" s="70">
        <f>+G29-SUM($D32:G32)+SUM($D42:G42)</f>
        <v>3590819.8813984445</v>
      </c>
      <c r="H39" s="70">
        <f>+H29-SUM($D32:H32)+SUM($D42:H42)</f>
        <v>3631084.9978078045</v>
      </c>
      <c r="I39" s="70">
        <f>+I29-SUM($D32:I32)+SUM($D42:I42)</f>
        <v>3671520.8698363435</v>
      </c>
      <c r="J39" s="70">
        <f>+J29-SUM($D32:J32)+SUM($D42:J42)</f>
        <v>3713150.4908020515</v>
      </c>
      <c r="K39" s="70">
        <f>+K29-SUM($D32:K32)+SUM($D42:K42)</f>
        <v>3754953.6740351934</v>
      </c>
      <c r="L39" s="70">
        <f>+L29-SUM($D32:L32)+SUM($D42:L42)</f>
        <v>3796927.3462018212</v>
      </c>
      <c r="M39" s="70">
        <f>+M29-SUM($D32:M32)+SUM($D42:M42)</f>
        <v>3839162.7873018142</v>
      </c>
      <c r="N39" s="70">
        <f>+N29-SUM($D32:N32)+SUM($D42:N42)</f>
        <v>3881568.0440018126</v>
      </c>
      <c r="O39" s="70">
        <f>+O29-SUM($D32:O32)+SUM($D42:O42)</f>
        <v>3924148.9696351453</v>
      </c>
      <c r="P39" s="70">
        <f>AVERAGE(C39:O39)</f>
        <v>3674431.5834001354</v>
      </c>
    </row>
    <row r="40" spans="1:17" x14ac:dyDescent="0.25">
      <c r="B40" t="s">
        <v>155</v>
      </c>
      <c r="C40" s="68">
        <f>+C38-C39</f>
        <v>2500727.5471266336</v>
      </c>
      <c r="D40" s="68">
        <f t="shared" ref="D40" si="41">+D38-D39</f>
        <v>2487050.2394172121</v>
      </c>
      <c r="E40" s="68">
        <f t="shared" ref="E40" si="42">+E38-E39</f>
        <v>2475581.0590486606</v>
      </c>
      <c r="F40" s="68">
        <f t="shared" ref="F40" si="43">+F38-F39</f>
        <v>2462359.28633495</v>
      </c>
      <c r="G40" s="68">
        <f t="shared" ref="G40" si="44">+G38-G39</f>
        <v>2449886.580005541</v>
      </c>
      <c r="H40" s="68">
        <f t="shared" ref="H40" si="45">+H38-H39</f>
        <v>2435234.8064729925</v>
      </c>
      <c r="I40" s="68">
        <f t="shared" ref="I40" si="46">+I38-I39</f>
        <v>2573861.2750198161</v>
      </c>
      <c r="J40" s="68">
        <f t="shared" ref="J40" si="47">+J38-J39</f>
        <v>2558265.9941691803</v>
      </c>
      <c r="K40" s="68">
        <f t="shared" ref="K40" si="48">+K38-K39</f>
        <v>2542036.1509590531</v>
      </c>
      <c r="L40" s="68">
        <f t="shared" ref="L40" si="49">+L38-L39</f>
        <v>2539327.8187970277</v>
      </c>
      <c r="M40" s="68">
        <f t="shared" ref="M40" si="50">+M38-M39</f>
        <v>2522564.7176979557</v>
      </c>
      <c r="N40" s="68">
        <f t="shared" ref="N40" si="51">+N38-N39</f>
        <v>2506509.8009981415</v>
      </c>
      <c r="O40" s="68">
        <f t="shared" ref="O40" si="52">+O38-O39</f>
        <v>2499808.1753648459</v>
      </c>
      <c r="P40" s="68">
        <f t="shared" ref="P40" si="53">+P38-P39</f>
        <v>2504093.3424163093</v>
      </c>
      <c r="Q40" t="s">
        <v>161</v>
      </c>
    </row>
    <row r="41" spans="1:17" x14ac:dyDescent="0.25"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</row>
    <row r="42" spans="1:17" x14ac:dyDescent="0.25">
      <c r="B42" t="s">
        <v>157</v>
      </c>
      <c r="D42" s="68">
        <f>+C38*$C43/12</f>
        <v>39548.70571660679</v>
      </c>
      <c r="E42" s="68">
        <f t="shared" ref="E42" si="54">+D38*$C43/12</f>
        <v>39721.139969988028</v>
      </c>
      <c r="F42" s="68">
        <f t="shared" ref="F42" si="55">+E38*$C43/12</f>
        <v>39909.444633997606</v>
      </c>
      <c r="G42" s="68">
        <f t="shared" ref="G42" si="56">+F38*$C43/12</f>
        <v>40087.320713466186</v>
      </c>
      <c r="H42" s="68">
        <f t="shared" ref="H42" si="57">+G38*$C43/12</f>
        <v>40271.376409359902</v>
      </c>
      <c r="I42" s="68">
        <f t="shared" ref="I42" si="58">+H38*$C43/12</f>
        <v>40442.132028538646</v>
      </c>
      <c r="J42" s="68">
        <f t="shared" ref="J42" si="59">+I38*$C43/12</f>
        <v>41635.880965707729</v>
      </c>
      <c r="K42" s="68">
        <f t="shared" ref="K42" si="60">+J38*$C43/12</f>
        <v>41809.443233141545</v>
      </c>
      <c r="L42" s="68">
        <f t="shared" ref="L42" si="61">+K38*$C43/12</f>
        <v>41979.932166628314</v>
      </c>
      <c r="M42" s="68">
        <f t="shared" ref="M42" si="62">+L38*$C43/12</f>
        <v>42241.70109999233</v>
      </c>
      <c r="N42" s="68">
        <f t="shared" ref="N42" si="63">+M38*$C43/12</f>
        <v>42411.516699998465</v>
      </c>
      <c r="O42" s="68">
        <f t="shared" ref="O42" si="64">+N38*$C43/12</f>
        <v>42587.185633333029</v>
      </c>
      <c r="P42" s="68">
        <f>SUM(D42:O42)</f>
        <v>492645.77927075856</v>
      </c>
      <c r="Q42" t="s">
        <v>162</v>
      </c>
    </row>
    <row r="43" spans="1:17" ht="15.75" thickBot="1" x14ac:dyDescent="0.3">
      <c r="A43" s="92"/>
      <c r="B43" s="92" t="s">
        <v>159</v>
      </c>
      <c r="C43" s="93">
        <v>0.08</v>
      </c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</row>
    <row r="44" spans="1:17" x14ac:dyDescent="0.25">
      <c r="C44" s="71"/>
    </row>
    <row r="45" spans="1:17" x14ac:dyDescent="0.25">
      <c r="B45" s="6" t="s">
        <v>192</v>
      </c>
    </row>
    <row r="46" spans="1:17" x14ac:dyDescent="0.25">
      <c r="C46" s="33">
        <v>2023</v>
      </c>
      <c r="D46" s="33">
        <v>2024</v>
      </c>
      <c r="E46" s="33">
        <v>2024</v>
      </c>
      <c r="F46" s="33">
        <v>2024</v>
      </c>
      <c r="G46" s="33">
        <v>2024</v>
      </c>
      <c r="H46" s="33">
        <v>2024</v>
      </c>
      <c r="I46" s="33">
        <v>2024</v>
      </c>
      <c r="J46" s="33">
        <v>2024</v>
      </c>
      <c r="K46" s="33">
        <v>2024</v>
      </c>
      <c r="L46" s="33">
        <v>2024</v>
      </c>
      <c r="M46" s="33">
        <v>2024</v>
      </c>
      <c r="N46" s="33">
        <v>2024</v>
      </c>
      <c r="O46" s="33">
        <v>2024</v>
      </c>
      <c r="P46" s="33">
        <v>2024</v>
      </c>
    </row>
    <row r="47" spans="1:17" x14ac:dyDescent="0.25">
      <c r="A47" s="90" t="s">
        <v>189</v>
      </c>
      <c r="C47" s="65" t="s">
        <v>141</v>
      </c>
      <c r="D47" s="65" t="s">
        <v>142</v>
      </c>
      <c r="E47" s="65" t="s">
        <v>143</v>
      </c>
      <c r="F47" s="65" t="s">
        <v>144</v>
      </c>
      <c r="G47" s="65" t="s">
        <v>145</v>
      </c>
      <c r="H47" s="65" t="s">
        <v>146</v>
      </c>
      <c r="I47" s="65" t="s">
        <v>147</v>
      </c>
      <c r="J47" s="65" t="s">
        <v>148</v>
      </c>
      <c r="K47" s="65" t="s">
        <v>149</v>
      </c>
      <c r="L47" s="65" t="s">
        <v>150</v>
      </c>
      <c r="M47" s="65" t="s">
        <v>151</v>
      </c>
      <c r="N47" s="65" t="s">
        <v>152</v>
      </c>
      <c r="O47" s="65" t="s">
        <v>141</v>
      </c>
      <c r="P47" s="66" t="s">
        <v>153</v>
      </c>
    </row>
    <row r="48" spans="1:17" x14ac:dyDescent="0.25">
      <c r="A48" s="90" t="s">
        <v>190</v>
      </c>
      <c r="B48" t="s">
        <v>154</v>
      </c>
      <c r="C48" s="67">
        <v>1529673.7899999998</v>
      </c>
      <c r="D48" s="68">
        <v>1529673.7899999998</v>
      </c>
      <c r="E48" s="68">
        <v>1529673.7899999998</v>
      </c>
      <c r="F48" s="68">
        <v>1529673.7899999998</v>
      </c>
      <c r="G48" s="68">
        <v>1529673.7899999998</v>
      </c>
      <c r="H48" s="68">
        <v>1529673.7899999998</v>
      </c>
      <c r="I48" s="68">
        <v>1529673.7899999998</v>
      </c>
      <c r="J48" s="68">
        <v>1529673.7899999998</v>
      </c>
      <c r="K48" s="68">
        <v>1529673.7899999998</v>
      </c>
      <c r="L48" s="68">
        <v>1529673.7899999998</v>
      </c>
      <c r="M48" s="68">
        <v>1529673.7899999998</v>
      </c>
      <c r="N48" s="68">
        <v>1529673.7899999998</v>
      </c>
      <c r="O48" s="68">
        <v>1529673.7899999998</v>
      </c>
      <c r="P48" s="68">
        <f>AVERAGE(C48:O48)</f>
        <v>1529673.7899999993</v>
      </c>
    </row>
    <row r="49" spans="1:17" x14ac:dyDescent="0.25">
      <c r="A49" s="90" t="s">
        <v>191</v>
      </c>
      <c r="B49" t="s">
        <v>55</v>
      </c>
      <c r="C49" s="69">
        <v>965279.09392999916</v>
      </c>
      <c r="D49" s="70">
        <v>973182.40851166588</v>
      </c>
      <c r="E49" s="70">
        <v>981085.72309333249</v>
      </c>
      <c r="F49" s="70">
        <v>988989.0376749991</v>
      </c>
      <c r="G49" s="70">
        <v>996892.3522566657</v>
      </c>
      <c r="H49" s="70">
        <v>1004795.6668383323</v>
      </c>
      <c r="I49" s="70">
        <v>1012698.9814199989</v>
      </c>
      <c r="J49" s="70">
        <v>1020602.2960016655</v>
      </c>
      <c r="K49" s="70">
        <v>1028505.6105833321</v>
      </c>
      <c r="L49" s="70">
        <v>1036408.9251649987</v>
      </c>
      <c r="M49" s="70">
        <v>1044312.2397466653</v>
      </c>
      <c r="N49" s="70">
        <v>1052215.554328332</v>
      </c>
      <c r="O49" s="70">
        <v>1060118.8689099986</v>
      </c>
      <c r="P49" s="70">
        <f>AVERAGE(C49:O49)</f>
        <v>1012698.9814199989</v>
      </c>
    </row>
    <row r="50" spans="1:17" x14ac:dyDescent="0.25">
      <c r="B50" t="s">
        <v>155</v>
      </c>
      <c r="C50" s="68">
        <f>+C48-C49</f>
        <v>564394.69607000065</v>
      </c>
      <c r="D50" s="68">
        <f t="shared" ref="D50" si="65">+D48-D49</f>
        <v>556491.38148833392</v>
      </c>
      <c r="E50" s="68">
        <f t="shared" ref="E50" si="66">+E48-E49</f>
        <v>548588.06690666731</v>
      </c>
      <c r="F50" s="68">
        <f t="shared" ref="F50" si="67">+F48-F49</f>
        <v>540684.75232500071</v>
      </c>
      <c r="G50" s="68">
        <f t="shared" ref="G50" si="68">+G48-G49</f>
        <v>532781.4377433341</v>
      </c>
      <c r="H50" s="68">
        <f t="shared" ref="H50" si="69">+H48-H49</f>
        <v>524878.12316166749</v>
      </c>
      <c r="I50" s="68">
        <f t="shared" ref="I50" si="70">+I48-I49</f>
        <v>516974.80858000088</v>
      </c>
      <c r="J50" s="68">
        <f t="shared" ref="J50" si="71">+J48-J49</f>
        <v>509071.49399833428</v>
      </c>
      <c r="K50" s="68">
        <f t="shared" ref="K50" si="72">+K48-K49</f>
        <v>501168.17941666767</v>
      </c>
      <c r="L50" s="68">
        <f t="shared" ref="L50" si="73">+L48-L49</f>
        <v>493264.86483500106</v>
      </c>
      <c r="M50" s="68">
        <f t="shared" ref="M50" si="74">+M48-M49</f>
        <v>485361.55025333446</v>
      </c>
      <c r="N50" s="68">
        <f t="shared" ref="N50" si="75">+N48-N49</f>
        <v>477458.23567166785</v>
      </c>
      <c r="O50" s="68">
        <f t="shared" ref="O50" si="76">+O48-O49</f>
        <v>469554.92109000124</v>
      </c>
      <c r="P50" s="68">
        <f t="shared" ref="P50" si="77">+P48-P49</f>
        <v>516974.80858000042</v>
      </c>
      <c r="Q50" t="s">
        <v>156</v>
      </c>
    </row>
    <row r="51" spans="1:17" x14ac:dyDescent="0.25"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</row>
    <row r="52" spans="1:17" x14ac:dyDescent="0.25">
      <c r="B52" t="s">
        <v>157</v>
      </c>
      <c r="D52" s="68">
        <f t="shared" ref="D52:O52" si="78">+C48*$C53/12</f>
        <v>7903.3145816666656</v>
      </c>
      <c r="E52" s="68">
        <f t="shared" si="78"/>
        <v>7903.3145816666656</v>
      </c>
      <c r="F52" s="68">
        <f t="shared" si="78"/>
        <v>7903.3145816666656</v>
      </c>
      <c r="G52" s="68">
        <f t="shared" si="78"/>
        <v>7903.3145816666656</v>
      </c>
      <c r="H52" s="68">
        <f t="shared" si="78"/>
        <v>7903.3145816666656</v>
      </c>
      <c r="I52" s="68">
        <f t="shared" si="78"/>
        <v>7903.3145816666656</v>
      </c>
      <c r="J52" s="68">
        <f t="shared" si="78"/>
        <v>7903.3145816666656</v>
      </c>
      <c r="K52" s="68">
        <f t="shared" si="78"/>
        <v>7903.3145816666656</v>
      </c>
      <c r="L52" s="68">
        <f t="shared" si="78"/>
        <v>7903.3145816666656</v>
      </c>
      <c r="M52" s="68">
        <f t="shared" si="78"/>
        <v>7903.3145816666656</v>
      </c>
      <c r="N52" s="68">
        <f t="shared" si="78"/>
        <v>7903.3145816666656</v>
      </c>
      <c r="O52" s="68">
        <f t="shared" si="78"/>
        <v>7903.3145816666656</v>
      </c>
      <c r="P52" s="68">
        <f>SUM(D52:O52)</f>
        <v>94839.774979999987</v>
      </c>
      <c r="Q52" t="s">
        <v>158</v>
      </c>
    </row>
    <row r="53" spans="1:17" x14ac:dyDescent="0.25">
      <c r="B53" t="s">
        <v>159</v>
      </c>
      <c r="C53" s="71">
        <v>6.2E-2</v>
      </c>
      <c r="D53" s="91">
        <f>+D52/C49*12</f>
        <v>9.8251143712097894E-2</v>
      </c>
    </row>
    <row r="54" spans="1:17" x14ac:dyDescent="0.25">
      <c r="A54" s="117" t="s">
        <v>226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</row>
    <row r="55" spans="1:17" x14ac:dyDescent="0.25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</row>
    <row r="56" spans="1:17" x14ac:dyDescent="0.25">
      <c r="B56" s="6" t="s">
        <v>193</v>
      </c>
    </row>
    <row r="57" spans="1:17" x14ac:dyDescent="0.25">
      <c r="C57" s="33">
        <v>2023</v>
      </c>
      <c r="D57" s="33">
        <v>2024</v>
      </c>
      <c r="E57" s="33">
        <v>2024</v>
      </c>
      <c r="F57" s="33">
        <v>2024</v>
      </c>
      <c r="G57" s="33">
        <v>2024</v>
      </c>
      <c r="H57" s="33">
        <v>2024</v>
      </c>
      <c r="I57" s="33">
        <v>2024</v>
      </c>
      <c r="J57" s="33">
        <v>2024</v>
      </c>
      <c r="K57" s="33">
        <v>2024</v>
      </c>
      <c r="L57" s="33">
        <v>2024</v>
      </c>
      <c r="M57" s="33">
        <v>2024</v>
      </c>
      <c r="N57" s="33">
        <v>2024</v>
      </c>
      <c r="O57" s="33">
        <v>2024</v>
      </c>
      <c r="P57" s="33">
        <v>2024</v>
      </c>
    </row>
    <row r="58" spans="1:17" x14ac:dyDescent="0.25">
      <c r="C58" s="65" t="s">
        <v>141</v>
      </c>
      <c r="D58" s="65" t="s">
        <v>142</v>
      </c>
      <c r="E58" s="65" t="s">
        <v>143</v>
      </c>
      <c r="F58" s="65" t="s">
        <v>144</v>
      </c>
      <c r="G58" s="65" t="s">
        <v>145</v>
      </c>
      <c r="H58" s="65" t="s">
        <v>146</v>
      </c>
      <c r="I58" s="65" t="s">
        <v>147</v>
      </c>
      <c r="J58" s="65" t="s">
        <v>148</v>
      </c>
      <c r="K58" s="65" t="s">
        <v>149</v>
      </c>
      <c r="L58" s="65" t="s">
        <v>150</v>
      </c>
      <c r="M58" s="65" t="s">
        <v>151</v>
      </c>
      <c r="N58" s="65" t="s">
        <v>152</v>
      </c>
      <c r="O58" s="65" t="s">
        <v>141</v>
      </c>
      <c r="P58" s="66" t="s">
        <v>153</v>
      </c>
    </row>
    <row r="59" spans="1:17" x14ac:dyDescent="0.25">
      <c r="B59" t="s">
        <v>154</v>
      </c>
      <c r="C59" s="67">
        <f>+C48</f>
        <v>1529673.7899999998</v>
      </c>
      <c r="D59" s="67">
        <f t="shared" ref="D59:O59" si="79">+D48</f>
        <v>1529673.7899999998</v>
      </c>
      <c r="E59" s="67">
        <f t="shared" si="79"/>
        <v>1529673.7899999998</v>
      </c>
      <c r="F59" s="67">
        <f t="shared" si="79"/>
        <v>1529673.7899999998</v>
      </c>
      <c r="G59" s="67">
        <f t="shared" si="79"/>
        <v>1529673.7899999998</v>
      </c>
      <c r="H59" s="67">
        <f t="shared" si="79"/>
        <v>1529673.7899999998</v>
      </c>
      <c r="I59" s="67">
        <f t="shared" si="79"/>
        <v>1529673.7899999998</v>
      </c>
      <c r="J59" s="67">
        <f t="shared" si="79"/>
        <v>1529673.7899999998</v>
      </c>
      <c r="K59" s="67">
        <f t="shared" si="79"/>
        <v>1529673.7899999998</v>
      </c>
      <c r="L59" s="67">
        <f t="shared" si="79"/>
        <v>1529673.7899999998</v>
      </c>
      <c r="M59" s="67">
        <f t="shared" si="79"/>
        <v>1529673.7899999998</v>
      </c>
      <c r="N59" s="67">
        <f t="shared" si="79"/>
        <v>1529673.7899999998</v>
      </c>
      <c r="O59" s="67">
        <f t="shared" si="79"/>
        <v>1529673.7899999998</v>
      </c>
      <c r="P59" s="68">
        <f>AVERAGE(C59:O59)</f>
        <v>1529673.7899999993</v>
      </c>
    </row>
    <row r="60" spans="1:17" x14ac:dyDescent="0.25">
      <c r="B60" t="s">
        <v>55</v>
      </c>
      <c r="C60" s="69">
        <f>+C49</f>
        <v>965279.09392999916</v>
      </c>
      <c r="D60" s="70">
        <f>+D49-SUM($D52:D52)+SUM($D63:D63)</f>
        <v>973054.9356958326</v>
      </c>
      <c r="E60" s="70">
        <f>+E49-SUM($D52:E52)+SUM($D63:E63)</f>
        <v>980830.7774616658</v>
      </c>
      <c r="F60" s="70">
        <f>+F49-SUM($D52:F52)+SUM($D63:F63)</f>
        <v>988606.619227499</v>
      </c>
      <c r="G60" s="70">
        <f>+G49-SUM($D52:G52)+SUM($D63:G63)</f>
        <v>996382.46099333232</v>
      </c>
      <c r="H60" s="70">
        <f>+H49-SUM($D52:H52)+SUM($D63:H63)</f>
        <v>1004158.3027591656</v>
      </c>
      <c r="I60" s="70">
        <f>+I49-SUM($D52:I52)+SUM($D63:I63)</f>
        <v>1011934.144524999</v>
      </c>
      <c r="J60" s="70">
        <f>+J49-SUM($D52:J52)+SUM($D63:J63)</f>
        <v>1019709.9862908322</v>
      </c>
      <c r="K60" s="70">
        <f>+K49-SUM($D52:K52)+SUM($D63:K63)</f>
        <v>1027485.8280566655</v>
      </c>
      <c r="L60" s="70">
        <f>+L49-SUM($D52:L52)+SUM($D63:L63)</f>
        <v>1035261.6698224988</v>
      </c>
      <c r="M60" s="70">
        <f>+M49-SUM($D52:M52)+SUM($D63:M63)</f>
        <v>1043037.511588332</v>
      </c>
      <c r="N60" s="70">
        <f>+N49-SUM($D52:N52)+SUM($D63:N63)</f>
        <v>1050813.3533541653</v>
      </c>
      <c r="O60" s="70">
        <f>+O49-SUM($D52:O52)+SUM($D63:O63)</f>
        <v>1058589.1951199987</v>
      </c>
      <c r="P60" s="70">
        <f>AVERAGE(C60:O60)</f>
        <v>1011934.144524999</v>
      </c>
    </row>
    <row r="61" spans="1:17" x14ac:dyDescent="0.25">
      <c r="B61" t="s">
        <v>155</v>
      </c>
      <c r="C61" s="68">
        <f>+C59-C60</f>
        <v>564394.69607000065</v>
      </c>
      <c r="D61" s="68">
        <f t="shared" ref="D61" si="80">+D59-D60</f>
        <v>556618.85430416721</v>
      </c>
      <c r="E61" s="68">
        <f t="shared" ref="E61" si="81">+E59-E60</f>
        <v>548843.01253833401</v>
      </c>
      <c r="F61" s="68">
        <f t="shared" ref="F61" si="82">+F59-F60</f>
        <v>541067.1707725008</v>
      </c>
      <c r="G61" s="68">
        <f t="shared" ref="G61" si="83">+G59-G60</f>
        <v>533291.32900666748</v>
      </c>
      <c r="H61" s="68">
        <f t="shared" ref="H61" si="84">+H59-H60</f>
        <v>525515.48724083416</v>
      </c>
      <c r="I61" s="68">
        <f t="shared" ref="I61" si="85">+I59-I60</f>
        <v>517739.64547500084</v>
      </c>
      <c r="J61" s="68">
        <f t="shared" ref="J61" si="86">+J59-J60</f>
        <v>509963.80370916764</v>
      </c>
      <c r="K61" s="68">
        <f t="shared" ref="K61" si="87">+K59-K60</f>
        <v>502187.96194333432</v>
      </c>
      <c r="L61" s="68">
        <f t="shared" ref="L61" si="88">+L59-L60</f>
        <v>494412.120177501</v>
      </c>
      <c r="M61" s="68">
        <f t="shared" ref="M61" si="89">+M59-M60</f>
        <v>486636.27841166779</v>
      </c>
      <c r="N61" s="68">
        <f t="shared" ref="N61" si="90">+N59-N60</f>
        <v>478860.43664583447</v>
      </c>
      <c r="O61" s="68">
        <f t="shared" ref="O61" si="91">+O59-O60</f>
        <v>471084.59488000115</v>
      </c>
      <c r="P61" s="68">
        <f t="shared" ref="P61" si="92">+P59-P60</f>
        <v>517739.64547500038</v>
      </c>
      <c r="Q61" t="s">
        <v>161</v>
      </c>
    </row>
    <row r="62" spans="1:17" x14ac:dyDescent="0.25"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</row>
    <row r="63" spans="1:17" x14ac:dyDescent="0.25">
      <c r="B63" t="s">
        <v>157</v>
      </c>
      <c r="D63" s="68">
        <f>+C59*$C64/12</f>
        <v>7775.8417658333319</v>
      </c>
      <c r="E63" s="68">
        <f t="shared" ref="E63" si="93">+D59*$C64/12</f>
        <v>7775.8417658333319</v>
      </c>
      <c r="F63" s="68">
        <f t="shared" ref="F63" si="94">+E59*$C64/12</f>
        <v>7775.8417658333319</v>
      </c>
      <c r="G63" s="68">
        <f t="shared" ref="G63" si="95">+F59*$C64/12</f>
        <v>7775.8417658333319</v>
      </c>
      <c r="H63" s="68">
        <f t="shared" ref="H63" si="96">+G59*$C64/12</f>
        <v>7775.8417658333319</v>
      </c>
      <c r="I63" s="68">
        <f t="shared" ref="I63" si="97">+H59*$C64/12</f>
        <v>7775.8417658333319</v>
      </c>
      <c r="J63" s="68">
        <f t="shared" ref="J63" si="98">+I59*$C64/12</f>
        <v>7775.8417658333319</v>
      </c>
      <c r="K63" s="68">
        <f t="shared" ref="K63" si="99">+J59*$C64/12</f>
        <v>7775.8417658333319</v>
      </c>
      <c r="L63" s="68">
        <f t="shared" ref="L63" si="100">+K59*$C64/12</f>
        <v>7775.8417658333319</v>
      </c>
      <c r="M63" s="68">
        <f t="shared" ref="M63" si="101">+L59*$C64/12</f>
        <v>7775.8417658333319</v>
      </c>
      <c r="N63" s="68">
        <f t="shared" ref="N63" si="102">+M59*$C64/12</f>
        <v>7775.8417658333319</v>
      </c>
      <c r="O63" s="68">
        <f t="shared" ref="O63" si="103">+N59*$C64/12</f>
        <v>7775.8417658333319</v>
      </c>
      <c r="P63" s="68">
        <f>SUM(D63:O63)</f>
        <v>93310.101190000001</v>
      </c>
      <c r="Q63" t="s">
        <v>162</v>
      </c>
    </row>
    <row r="64" spans="1:17" ht="15.75" thickBot="1" x14ac:dyDescent="0.3">
      <c r="A64" s="92"/>
      <c r="B64" s="92" t="s">
        <v>159</v>
      </c>
      <c r="C64" s="93">
        <v>6.0999999999999999E-2</v>
      </c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</row>
    <row r="65" spans="1:17" x14ac:dyDescent="0.25">
      <c r="C65" s="71"/>
    </row>
    <row r="66" spans="1:17" x14ac:dyDescent="0.25">
      <c r="B66" s="6" t="s">
        <v>194</v>
      </c>
    </row>
    <row r="67" spans="1:17" x14ac:dyDescent="0.25">
      <c r="C67" s="33">
        <v>2023</v>
      </c>
      <c r="D67" s="33">
        <v>2024</v>
      </c>
      <c r="E67" s="33">
        <v>2024</v>
      </c>
      <c r="F67" s="33">
        <v>2024</v>
      </c>
      <c r="G67" s="33">
        <v>2024</v>
      </c>
      <c r="H67" s="33">
        <v>2024</v>
      </c>
      <c r="I67" s="33">
        <v>2024</v>
      </c>
      <c r="J67" s="33">
        <v>2024</v>
      </c>
      <c r="K67" s="33">
        <v>2024</v>
      </c>
      <c r="L67" s="33">
        <v>2024</v>
      </c>
      <c r="M67" s="33">
        <v>2024</v>
      </c>
      <c r="N67" s="33">
        <v>2024</v>
      </c>
      <c r="O67" s="33">
        <v>2024</v>
      </c>
      <c r="P67" s="33">
        <v>2024</v>
      </c>
    </row>
    <row r="68" spans="1:17" x14ac:dyDescent="0.25">
      <c r="A68" s="90" t="s">
        <v>189</v>
      </c>
      <c r="C68" s="65" t="s">
        <v>141</v>
      </c>
      <c r="D68" s="65" t="s">
        <v>142</v>
      </c>
      <c r="E68" s="65" t="s">
        <v>143</v>
      </c>
      <c r="F68" s="65" t="s">
        <v>144</v>
      </c>
      <c r="G68" s="65" t="s">
        <v>145</v>
      </c>
      <c r="H68" s="65" t="s">
        <v>146</v>
      </c>
      <c r="I68" s="65" t="s">
        <v>147</v>
      </c>
      <c r="J68" s="65" t="s">
        <v>148</v>
      </c>
      <c r="K68" s="65" t="s">
        <v>149</v>
      </c>
      <c r="L68" s="65" t="s">
        <v>150</v>
      </c>
      <c r="M68" s="65" t="s">
        <v>151</v>
      </c>
      <c r="N68" s="65" t="s">
        <v>152</v>
      </c>
      <c r="O68" s="65" t="s">
        <v>141</v>
      </c>
      <c r="P68" s="66" t="s">
        <v>153</v>
      </c>
    </row>
    <row r="69" spans="1:17" x14ac:dyDescent="0.25">
      <c r="A69" s="90" t="s">
        <v>190</v>
      </c>
      <c r="B69" t="s">
        <v>154</v>
      </c>
      <c r="C69" s="67">
        <v>2564139.23</v>
      </c>
      <c r="D69" s="68">
        <v>2564139.23</v>
      </c>
      <c r="E69" s="68">
        <v>2564139.23</v>
      </c>
      <c r="F69" s="68">
        <v>2564139.23</v>
      </c>
      <c r="G69" s="68">
        <v>2564139.23</v>
      </c>
      <c r="H69" s="68">
        <v>2564139.23</v>
      </c>
      <c r="I69" s="68">
        <v>2564139.23</v>
      </c>
      <c r="J69" s="68">
        <v>2564139.23</v>
      </c>
      <c r="K69" s="68">
        <v>2564139.23</v>
      </c>
      <c r="L69" s="68">
        <v>2564139.23</v>
      </c>
      <c r="M69" s="68">
        <v>2564139.23</v>
      </c>
      <c r="N69" s="68">
        <v>2564139.23</v>
      </c>
      <c r="O69" s="68">
        <v>2564139.23</v>
      </c>
      <c r="P69" s="68">
        <v>2564139.23</v>
      </c>
    </row>
    <row r="70" spans="1:17" x14ac:dyDescent="0.25">
      <c r="A70" s="90" t="s">
        <v>191</v>
      </c>
      <c r="B70" t="s">
        <v>55</v>
      </c>
      <c r="C70" s="69">
        <v>1267332.2891799987</v>
      </c>
      <c r="D70" s="70">
        <v>1279298.272253332</v>
      </c>
      <c r="E70" s="70">
        <v>1291264.2553266652</v>
      </c>
      <c r="F70" s="70">
        <v>1303230.2383999985</v>
      </c>
      <c r="G70" s="70">
        <v>1315196.2214733318</v>
      </c>
      <c r="H70" s="70">
        <v>1327162.2045466651</v>
      </c>
      <c r="I70" s="70">
        <v>1339128.1876199984</v>
      </c>
      <c r="J70" s="70">
        <v>1351094.1706933316</v>
      </c>
      <c r="K70" s="70">
        <v>1363060.1537666649</v>
      </c>
      <c r="L70" s="70">
        <v>1375026.1368399982</v>
      </c>
      <c r="M70" s="70">
        <v>1386992.1199133315</v>
      </c>
      <c r="N70" s="70">
        <v>1398958.1029866647</v>
      </c>
      <c r="O70" s="70">
        <v>1410924.086059998</v>
      </c>
      <c r="P70" s="70">
        <v>1339128.1876199986</v>
      </c>
    </row>
    <row r="71" spans="1:17" x14ac:dyDescent="0.25">
      <c r="B71" t="s">
        <v>155</v>
      </c>
      <c r="C71" s="68">
        <f>+C69-C70</f>
        <v>1296806.9408200013</v>
      </c>
      <c r="D71" s="68">
        <f t="shared" ref="D71" si="104">+D69-D70</f>
        <v>1284840.957746668</v>
      </c>
      <c r="E71" s="68">
        <f t="shared" ref="E71" si="105">+E69-E70</f>
        <v>1272874.9746733347</v>
      </c>
      <c r="F71" s="68">
        <f t="shared" ref="F71" si="106">+F69-F70</f>
        <v>1260908.9916000015</v>
      </c>
      <c r="G71" s="68">
        <f t="shared" ref="G71" si="107">+G69-G70</f>
        <v>1248943.0085266682</v>
      </c>
      <c r="H71" s="68">
        <f t="shared" ref="H71" si="108">+H69-H70</f>
        <v>1236977.0254533349</v>
      </c>
      <c r="I71" s="68">
        <f t="shared" ref="I71" si="109">+I69-I70</f>
        <v>1225011.0423800016</v>
      </c>
      <c r="J71" s="68">
        <f t="shared" ref="J71" si="110">+J69-J70</f>
        <v>1213045.0593066684</v>
      </c>
      <c r="K71" s="68">
        <f t="shared" ref="K71" si="111">+K69-K70</f>
        <v>1201079.0762333351</v>
      </c>
      <c r="L71" s="68">
        <f t="shared" ref="L71" si="112">+L69-L70</f>
        <v>1189113.0931600018</v>
      </c>
      <c r="M71" s="68">
        <f t="shared" ref="M71" si="113">+M69-M70</f>
        <v>1177147.1100866685</v>
      </c>
      <c r="N71" s="68">
        <f t="shared" ref="N71" si="114">+N69-N70</f>
        <v>1165181.1270133352</v>
      </c>
      <c r="O71" s="68">
        <f t="shared" ref="O71" si="115">+O69-O70</f>
        <v>1153215.143940002</v>
      </c>
      <c r="P71" s="68">
        <f t="shared" ref="P71" si="116">+P69-P70</f>
        <v>1225011.0423800014</v>
      </c>
      <c r="Q71" t="s">
        <v>156</v>
      </c>
    </row>
    <row r="72" spans="1:17" x14ac:dyDescent="0.25"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</row>
    <row r="73" spans="1:17" x14ac:dyDescent="0.25">
      <c r="B73" t="s">
        <v>157</v>
      </c>
      <c r="D73" s="68">
        <f t="shared" ref="D73" si="117">+C69*$C74/12</f>
        <v>11965.983073333335</v>
      </c>
      <c r="E73" s="68">
        <f t="shared" ref="E73" si="118">+D69*$C74/12</f>
        <v>11965.983073333335</v>
      </c>
      <c r="F73" s="68">
        <f t="shared" ref="F73" si="119">+E69*$C74/12</f>
        <v>11965.983073333335</v>
      </c>
      <c r="G73" s="68">
        <f t="shared" ref="G73" si="120">+F69*$C74/12</f>
        <v>11965.983073333335</v>
      </c>
      <c r="H73" s="68">
        <f t="shared" ref="H73" si="121">+G69*$C74/12</f>
        <v>11965.983073333335</v>
      </c>
      <c r="I73" s="68">
        <f t="shared" ref="I73" si="122">+H69*$C74/12</f>
        <v>11965.983073333335</v>
      </c>
      <c r="J73" s="68">
        <f t="shared" ref="J73" si="123">+I69*$C74/12</f>
        <v>11965.983073333335</v>
      </c>
      <c r="K73" s="68">
        <f t="shared" ref="K73" si="124">+J69*$C74/12</f>
        <v>11965.983073333335</v>
      </c>
      <c r="L73" s="68">
        <f t="shared" ref="L73" si="125">+K69*$C74/12</f>
        <v>11965.983073333335</v>
      </c>
      <c r="M73" s="68">
        <f t="shared" ref="M73" si="126">+L69*$C74/12</f>
        <v>11965.983073333335</v>
      </c>
      <c r="N73" s="68">
        <f t="shared" ref="N73" si="127">+M69*$C74/12</f>
        <v>11965.983073333335</v>
      </c>
      <c r="O73" s="68">
        <f t="shared" ref="O73" si="128">+N69*$C74/12</f>
        <v>11965.983073333335</v>
      </c>
      <c r="P73" s="68">
        <f>SUM(D73:O73)</f>
        <v>143591.79688000001</v>
      </c>
      <c r="Q73" t="s">
        <v>280</v>
      </c>
    </row>
    <row r="74" spans="1:17" x14ac:dyDescent="0.25">
      <c r="B74" t="s">
        <v>159</v>
      </c>
      <c r="C74" s="71">
        <v>5.6000000000000001E-2</v>
      </c>
      <c r="D74" s="91"/>
    </row>
    <row r="76" spans="1:17" x14ac:dyDescent="0.25">
      <c r="B76" s="6" t="s">
        <v>195</v>
      </c>
    </row>
    <row r="77" spans="1:17" x14ac:dyDescent="0.25">
      <c r="C77" s="33">
        <v>2023</v>
      </c>
      <c r="D77" s="33">
        <v>2024</v>
      </c>
      <c r="E77" s="33">
        <v>2024</v>
      </c>
      <c r="F77" s="33">
        <v>2024</v>
      </c>
      <c r="G77" s="33">
        <v>2024</v>
      </c>
      <c r="H77" s="33">
        <v>2024</v>
      </c>
      <c r="I77" s="33">
        <v>2024</v>
      </c>
      <c r="J77" s="33">
        <v>2024</v>
      </c>
      <c r="K77" s="33">
        <v>2024</v>
      </c>
      <c r="L77" s="33">
        <v>2024</v>
      </c>
      <c r="M77" s="33">
        <v>2024</v>
      </c>
      <c r="N77" s="33">
        <v>2024</v>
      </c>
      <c r="O77" s="33">
        <v>2024</v>
      </c>
      <c r="P77" s="33">
        <v>2024</v>
      </c>
    </row>
    <row r="78" spans="1:17" x14ac:dyDescent="0.25">
      <c r="C78" s="65" t="s">
        <v>141</v>
      </c>
      <c r="D78" s="65" t="s">
        <v>142</v>
      </c>
      <c r="E78" s="65" t="s">
        <v>143</v>
      </c>
      <c r="F78" s="65" t="s">
        <v>144</v>
      </c>
      <c r="G78" s="65" t="s">
        <v>145</v>
      </c>
      <c r="H78" s="65" t="s">
        <v>146</v>
      </c>
      <c r="I78" s="65" t="s">
        <v>147</v>
      </c>
      <c r="J78" s="65" t="s">
        <v>148</v>
      </c>
      <c r="K78" s="65" t="s">
        <v>149</v>
      </c>
      <c r="L78" s="65" t="s">
        <v>150</v>
      </c>
      <c r="M78" s="65" t="s">
        <v>151</v>
      </c>
      <c r="N78" s="65" t="s">
        <v>152</v>
      </c>
      <c r="O78" s="65" t="s">
        <v>141</v>
      </c>
      <c r="P78" s="66" t="s">
        <v>153</v>
      </c>
    </row>
    <row r="79" spans="1:17" x14ac:dyDescent="0.25">
      <c r="B79" t="s">
        <v>154</v>
      </c>
      <c r="C79" s="67">
        <f>+C69</f>
        <v>2564139.23</v>
      </c>
      <c r="D79" s="67">
        <f t="shared" ref="D79:O79" si="129">+D69</f>
        <v>2564139.23</v>
      </c>
      <c r="E79" s="67">
        <f t="shared" si="129"/>
        <v>2564139.23</v>
      </c>
      <c r="F79" s="67">
        <f t="shared" si="129"/>
        <v>2564139.23</v>
      </c>
      <c r="G79" s="67">
        <f t="shared" si="129"/>
        <v>2564139.23</v>
      </c>
      <c r="H79" s="67">
        <f t="shared" si="129"/>
        <v>2564139.23</v>
      </c>
      <c r="I79" s="67">
        <f t="shared" si="129"/>
        <v>2564139.23</v>
      </c>
      <c r="J79" s="67">
        <f t="shared" si="129"/>
        <v>2564139.23</v>
      </c>
      <c r="K79" s="67">
        <f t="shared" si="129"/>
        <v>2564139.23</v>
      </c>
      <c r="L79" s="67">
        <f t="shared" si="129"/>
        <v>2564139.23</v>
      </c>
      <c r="M79" s="67">
        <f t="shared" si="129"/>
        <v>2564139.23</v>
      </c>
      <c r="N79" s="67">
        <f t="shared" si="129"/>
        <v>2564139.23</v>
      </c>
      <c r="O79" s="67">
        <f t="shared" si="129"/>
        <v>2564139.23</v>
      </c>
      <c r="P79" s="68">
        <f>AVERAGE(C79:O79)</f>
        <v>2564139.23</v>
      </c>
    </row>
    <row r="80" spans="1:17" x14ac:dyDescent="0.25">
      <c r="B80" t="s">
        <v>55</v>
      </c>
      <c r="C80" s="69">
        <f>+C70</f>
        <v>1267332.2891799987</v>
      </c>
      <c r="D80" s="70">
        <f>+D70-SUM($D73:D73)+SUM($D83:D83)</f>
        <v>1279084.5939841655</v>
      </c>
      <c r="E80" s="70">
        <f>+E70-SUM($D73:E73)+SUM($D83:E83)</f>
        <v>1290836.898788332</v>
      </c>
      <c r="F80" s="70">
        <f>+F70-SUM($D73:F73)+SUM($D83:F83)</f>
        <v>1302589.2035924986</v>
      </c>
      <c r="G80" s="70">
        <f>+G70-SUM($D73:G73)+SUM($D83:G83)</f>
        <v>1314341.5083966651</v>
      </c>
      <c r="H80" s="70">
        <f>+H70-SUM($D73:H73)+SUM($D83:H83)</f>
        <v>1326093.8132008319</v>
      </c>
      <c r="I80" s="70">
        <f>+I70-SUM($D73:I73)+SUM($D83:I83)</f>
        <v>1337846.1180049984</v>
      </c>
      <c r="J80" s="70">
        <f>+J70-SUM($D73:J73)+SUM($D83:J83)</f>
        <v>1349598.422809165</v>
      </c>
      <c r="K80" s="70">
        <f>+K70-SUM($D73:K73)+SUM($D83:K83)</f>
        <v>1361350.7276133315</v>
      </c>
      <c r="L80" s="70">
        <f>+L70-SUM($D73:L73)+SUM($D83:L83)</f>
        <v>1373103.0324174983</v>
      </c>
      <c r="M80" s="70">
        <f>+M70-SUM($D73:M73)+SUM($D83:M83)</f>
        <v>1384855.3372216648</v>
      </c>
      <c r="N80" s="70">
        <f>+N70-SUM($D73:N73)+SUM($D83:N83)</f>
        <v>1396607.6420258314</v>
      </c>
      <c r="O80" s="70">
        <f>+O70-SUM($D73:O73)+SUM($D83:O83)</f>
        <v>1408359.9468299979</v>
      </c>
      <c r="P80" s="70">
        <f>AVERAGE(C80:O80)</f>
        <v>1337846.1180049984</v>
      </c>
    </row>
    <row r="81" spans="1:22" x14ac:dyDescent="0.25">
      <c r="B81" t="s">
        <v>155</v>
      </c>
      <c r="C81" s="68">
        <f>+C79-C80</f>
        <v>1296806.9408200013</v>
      </c>
      <c r="D81" s="68">
        <f t="shared" ref="D81" si="130">+D79-D80</f>
        <v>1285054.6360158345</v>
      </c>
      <c r="E81" s="68">
        <f t="shared" ref="E81" si="131">+E79-E80</f>
        <v>1273302.331211668</v>
      </c>
      <c r="F81" s="68">
        <f t="shared" ref="F81" si="132">+F79-F80</f>
        <v>1261550.0264075014</v>
      </c>
      <c r="G81" s="68">
        <f t="shared" ref="G81" si="133">+G79-G80</f>
        <v>1249797.7216033349</v>
      </c>
      <c r="H81" s="68">
        <f t="shared" ref="H81" si="134">+H79-H80</f>
        <v>1238045.4167991681</v>
      </c>
      <c r="I81" s="68">
        <f t="shared" ref="I81" si="135">+I79-I80</f>
        <v>1226293.1119950016</v>
      </c>
      <c r="J81" s="68">
        <f t="shared" ref="J81" si="136">+J79-J80</f>
        <v>1214540.807190835</v>
      </c>
      <c r="K81" s="68">
        <f t="shared" ref="K81" si="137">+K79-K80</f>
        <v>1202788.5023866685</v>
      </c>
      <c r="L81" s="68">
        <f t="shared" ref="L81" si="138">+L79-L80</f>
        <v>1191036.1975825017</v>
      </c>
      <c r="M81" s="68">
        <f t="shared" ref="M81" si="139">+M79-M80</f>
        <v>1179283.8927783351</v>
      </c>
      <c r="N81" s="68">
        <f t="shared" ref="N81" si="140">+N79-N80</f>
        <v>1167531.5879741686</v>
      </c>
      <c r="O81" s="68">
        <f t="shared" ref="O81" si="141">+O79-O80</f>
        <v>1155779.283170002</v>
      </c>
      <c r="P81" s="68">
        <f t="shared" ref="P81" si="142">+P79-P80</f>
        <v>1226293.1119950016</v>
      </c>
      <c r="Q81" t="s">
        <v>161</v>
      </c>
    </row>
    <row r="82" spans="1:22" x14ac:dyDescent="0.25"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</row>
    <row r="83" spans="1:22" x14ac:dyDescent="0.25">
      <c r="B83" t="s">
        <v>157</v>
      </c>
      <c r="D83" s="68">
        <f>+C79*$C84/12</f>
        <v>11752.304804166668</v>
      </c>
      <c r="E83" s="68">
        <f t="shared" ref="E83" si="143">+D79*$C84/12</f>
        <v>11752.304804166668</v>
      </c>
      <c r="F83" s="68">
        <f t="shared" ref="F83" si="144">+E79*$C84/12</f>
        <v>11752.304804166668</v>
      </c>
      <c r="G83" s="68">
        <f t="shared" ref="G83" si="145">+F79*$C84/12</f>
        <v>11752.304804166668</v>
      </c>
      <c r="H83" s="68">
        <f t="shared" ref="H83" si="146">+G79*$C84/12</f>
        <v>11752.304804166668</v>
      </c>
      <c r="I83" s="68">
        <f t="shared" ref="I83" si="147">+H79*$C84/12</f>
        <v>11752.304804166668</v>
      </c>
      <c r="J83" s="68">
        <f t="shared" ref="J83" si="148">+I79*$C84/12</f>
        <v>11752.304804166668</v>
      </c>
      <c r="K83" s="68">
        <f t="shared" ref="K83" si="149">+J79*$C84/12</f>
        <v>11752.304804166668</v>
      </c>
      <c r="L83" s="68">
        <f t="shared" ref="L83" si="150">+K79*$C84/12</f>
        <v>11752.304804166668</v>
      </c>
      <c r="M83" s="68">
        <f t="shared" ref="M83" si="151">+L79*$C84/12</f>
        <v>11752.304804166668</v>
      </c>
      <c r="N83" s="68">
        <f t="shared" ref="N83" si="152">+M79*$C84/12</f>
        <v>11752.304804166668</v>
      </c>
      <c r="O83" s="68">
        <f t="shared" ref="O83" si="153">+N79*$C84/12</f>
        <v>11752.304804166668</v>
      </c>
      <c r="P83" s="68">
        <f>SUM(D83:O83)</f>
        <v>141027.65764999998</v>
      </c>
      <c r="Q83" t="s">
        <v>280</v>
      </c>
    </row>
    <row r="84" spans="1:22" ht="15.75" thickBot="1" x14ac:dyDescent="0.3">
      <c r="A84" s="92"/>
      <c r="B84" s="92" t="s">
        <v>159</v>
      </c>
      <c r="C84" s="93">
        <v>5.5E-2</v>
      </c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</row>
    <row r="85" spans="1:22" x14ac:dyDescent="0.25">
      <c r="C85" s="71"/>
    </row>
    <row r="86" spans="1:22" x14ac:dyDescent="0.25">
      <c r="E86" s="33" t="s">
        <v>215</v>
      </c>
      <c r="F86" s="33" t="s">
        <v>215</v>
      </c>
      <c r="G86" s="33" t="s">
        <v>215</v>
      </c>
      <c r="H86" s="33" t="s">
        <v>215</v>
      </c>
      <c r="J86" s="33" t="s">
        <v>276</v>
      </c>
    </row>
    <row r="87" spans="1:22" x14ac:dyDescent="0.25">
      <c r="E87" s="100" t="s">
        <v>212</v>
      </c>
      <c r="F87" s="100" t="s">
        <v>213</v>
      </c>
      <c r="G87" s="100" t="s">
        <v>214</v>
      </c>
      <c r="H87" s="100" t="s">
        <v>220</v>
      </c>
      <c r="I87" s="33" t="s">
        <v>218</v>
      </c>
      <c r="J87" s="33" t="s">
        <v>277</v>
      </c>
      <c r="L87" t="s">
        <v>163</v>
      </c>
      <c r="P87" s="68">
        <f>+P10+P30+P50+P71</f>
        <v>5232436.399101736</v>
      </c>
      <c r="Q87" t="s">
        <v>197</v>
      </c>
      <c r="U87" t="s">
        <v>283</v>
      </c>
    </row>
    <row r="88" spans="1:22" x14ac:dyDescent="0.25">
      <c r="A88" t="s">
        <v>216</v>
      </c>
      <c r="E88" s="68">
        <f>+P22-P12</f>
        <v>-26039.896539999987</v>
      </c>
      <c r="F88" s="68">
        <f>+P42-P32</f>
        <v>-6158.0722408845322</v>
      </c>
      <c r="G88" s="68">
        <f>+P63-P52</f>
        <v>-1529.6737899999862</v>
      </c>
      <c r="H88" s="68">
        <f>+P83-P73</f>
        <v>-2564.1392300000298</v>
      </c>
      <c r="I88" s="68">
        <f>SUM(E88:H88)</f>
        <v>-36291.781800884535</v>
      </c>
      <c r="J88" s="68">
        <f>+E88+F88+G88</f>
        <v>-33727.642570884505</v>
      </c>
      <c r="L88" t="s">
        <v>164</v>
      </c>
      <c r="P88" s="70">
        <f>+P20+P40+P61+P81</f>
        <v>5250501.9597877609</v>
      </c>
      <c r="Q88" t="s">
        <v>198</v>
      </c>
      <c r="U88" s="67">
        <f>91223370+I88</f>
        <v>91187078.218199119</v>
      </c>
      <c r="V88" t="s">
        <v>282</v>
      </c>
    </row>
    <row r="89" spans="1:22" x14ac:dyDescent="0.25">
      <c r="A89" t="s">
        <v>217</v>
      </c>
      <c r="E89" s="68">
        <f>+P19-P9</f>
        <v>-12982.51876307698</v>
      </c>
      <c r="F89" s="68">
        <f>+P39-P29</f>
        <v>-3036.1354129482061</v>
      </c>
      <c r="G89" s="68">
        <f>+P60-P49</f>
        <v>-764.83689499995671</v>
      </c>
      <c r="H89" s="68">
        <f>+P80-P70</f>
        <v>-1282.0696150001604</v>
      </c>
      <c r="I89" s="68">
        <f>SUM(E89:H89)</f>
        <v>-18065.560686025303</v>
      </c>
      <c r="L89" t="s">
        <v>221</v>
      </c>
      <c r="P89" s="68">
        <f>+P88-P87</f>
        <v>18065.560686024837</v>
      </c>
      <c r="U89" s="67">
        <f>'Annual Status 2024 Corrected '!I58</f>
        <v>91187078.415149644</v>
      </c>
      <c r="V89" t="s">
        <v>285</v>
      </c>
    </row>
    <row r="90" spans="1:22" x14ac:dyDescent="0.25">
      <c r="A90" t="s">
        <v>219</v>
      </c>
      <c r="E90" s="68">
        <f>+P20-P10</f>
        <v>12982.51876307698</v>
      </c>
      <c r="F90" s="68">
        <f>+P40-P30</f>
        <v>3036.1354129482061</v>
      </c>
      <c r="G90" s="68">
        <f>+P61-P50</f>
        <v>764.83689499995671</v>
      </c>
      <c r="H90" s="68">
        <f>+P81-P71</f>
        <v>1282.0696150001604</v>
      </c>
      <c r="I90" s="68">
        <f>SUM(E90:H90)</f>
        <v>18065.560686025303</v>
      </c>
      <c r="U90" s="68">
        <f>87776676+J88</f>
        <v>87742948.357429117</v>
      </c>
      <c r="V90" t="s">
        <v>284</v>
      </c>
    </row>
    <row r="91" spans="1:22" x14ac:dyDescent="0.25">
      <c r="L91" t="s">
        <v>278</v>
      </c>
      <c r="P91" s="68">
        <f>+P12++P32+P52</f>
        <v>730353.0833266431</v>
      </c>
      <c r="Q91" t="s">
        <v>199</v>
      </c>
    </row>
    <row r="92" spans="1:22" x14ac:dyDescent="0.25">
      <c r="A92" s="118" t="s">
        <v>281</v>
      </c>
      <c r="B92" s="118"/>
      <c r="C92" s="118"/>
      <c r="D92" s="118"/>
      <c r="E92" s="118"/>
      <c r="F92" s="118"/>
      <c r="G92" s="118"/>
      <c r="H92" s="118"/>
      <c r="I92" s="118"/>
      <c r="J92" s="118"/>
      <c r="L92" t="s">
        <v>279</v>
      </c>
      <c r="P92" s="70">
        <f>+P22+P42+P63</f>
        <v>696625.44075575855</v>
      </c>
      <c r="Q92" t="s">
        <v>200</v>
      </c>
    </row>
    <row r="93" spans="1:22" x14ac:dyDescent="0.25">
      <c r="A93" s="118"/>
      <c r="B93" s="118"/>
      <c r="C93" s="118"/>
      <c r="D93" s="118"/>
      <c r="E93" s="118"/>
      <c r="F93" s="118"/>
      <c r="G93" s="118"/>
      <c r="H93" s="118"/>
      <c r="I93" s="118"/>
      <c r="J93" s="118"/>
      <c r="L93" t="s">
        <v>165</v>
      </c>
      <c r="P93" s="68">
        <f>+P92-P91</f>
        <v>-33727.642570884549</v>
      </c>
    </row>
    <row r="94" spans="1:22" x14ac:dyDescent="0.25">
      <c r="A94" s="118"/>
      <c r="B94" s="118"/>
      <c r="C94" s="118"/>
      <c r="D94" s="118"/>
      <c r="E94" s="118"/>
      <c r="F94" s="118"/>
      <c r="G94" s="118"/>
      <c r="H94" s="118"/>
      <c r="I94" s="118"/>
      <c r="J94" s="118"/>
      <c r="L94" t="s">
        <v>166</v>
      </c>
      <c r="P94" s="72">
        <f>-P93*0.25345</f>
        <v>8548.2710095906896</v>
      </c>
    </row>
    <row r="95" spans="1:22" x14ac:dyDescent="0.25">
      <c r="L95" t="s">
        <v>167</v>
      </c>
      <c r="P95" s="68">
        <f>+P93+P94</f>
        <v>-25179.371561293861</v>
      </c>
    </row>
  </sheetData>
  <mergeCells count="5">
    <mergeCell ref="A1:Q1"/>
    <mergeCell ref="A2:Q2"/>
    <mergeCell ref="A3:Q3"/>
    <mergeCell ref="A54:Q54"/>
    <mergeCell ref="A92:J94"/>
  </mergeCells>
  <phoneticPr fontId="11" type="noConversion"/>
  <pageMargins left="0.7" right="0.7" top="0.75" bottom="0.75" header="0.3" footer="0.3"/>
  <pageSetup scale="60" fitToHeight="2" orientation="landscape" horizontalDpi="90" verticalDpi="90" r:id="rId1"/>
  <rowBreaks count="1" manualBreakCount="1">
    <brk id="53" max="16383" man="1"/>
  </row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C2F36-C040-4643-AF55-56E88DAD2BF4}">
  <dimension ref="A1:Q25"/>
  <sheetViews>
    <sheetView workbookViewId="0">
      <selection activeCell="H25" sqref="H25"/>
    </sheetView>
  </sheetViews>
  <sheetFormatPr defaultRowHeight="15" x14ac:dyDescent="0.25"/>
  <cols>
    <col min="1" max="1" width="6.7109375" customWidth="1"/>
    <col min="2" max="2" width="35.28515625" bestFit="1" customWidth="1"/>
    <col min="3" max="3" width="2.140625" customWidth="1"/>
    <col min="4" max="4" width="17.7109375" bestFit="1" customWidth="1"/>
    <col min="5" max="5" width="1.85546875" customWidth="1"/>
    <col min="6" max="6" width="17.7109375" customWidth="1"/>
    <col min="7" max="7" width="2.28515625" customWidth="1"/>
    <col min="8" max="8" width="17.7109375" bestFit="1" customWidth="1"/>
  </cols>
  <sheetData>
    <row r="1" spans="1:17" x14ac:dyDescent="0.25">
      <c r="A1" s="117" t="s">
        <v>139</v>
      </c>
      <c r="B1" s="117"/>
      <c r="C1" s="117"/>
      <c r="D1" s="117"/>
      <c r="E1" s="117"/>
      <c r="F1" s="117"/>
      <c r="G1" s="117"/>
      <c r="H1" s="117"/>
      <c r="I1" s="6"/>
      <c r="J1" s="6"/>
      <c r="K1" s="6"/>
      <c r="L1" s="6"/>
      <c r="M1" s="6"/>
      <c r="N1" s="6"/>
      <c r="O1" s="6"/>
      <c r="P1" s="6"/>
      <c r="Q1" s="6"/>
    </row>
    <row r="2" spans="1:17" x14ac:dyDescent="0.25">
      <c r="A2" s="117" t="s">
        <v>196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x14ac:dyDescent="0.25">
      <c r="A3" s="117" t="s">
        <v>227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6" spans="1:17" x14ac:dyDescent="0.25">
      <c r="B6" s="73"/>
      <c r="C6" s="73"/>
      <c r="D6" s="74" t="s">
        <v>168</v>
      </c>
      <c r="F6" s="33" t="s">
        <v>169</v>
      </c>
      <c r="H6" s="74" t="s">
        <v>170</v>
      </c>
    </row>
    <row r="7" spans="1:17" x14ac:dyDescent="0.25">
      <c r="B7" s="75" t="s">
        <v>171</v>
      </c>
      <c r="C7" s="73"/>
      <c r="D7" s="76" t="s">
        <v>172</v>
      </c>
      <c r="F7" s="77" t="s">
        <v>173</v>
      </c>
      <c r="H7" s="76" t="s">
        <v>172</v>
      </c>
    </row>
    <row r="8" spans="1:17" x14ac:dyDescent="0.25">
      <c r="B8" s="78"/>
      <c r="C8" s="79"/>
      <c r="D8" s="80"/>
      <c r="H8" s="80"/>
    </row>
    <row r="9" spans="1:17" x14ac:dyDescent="0.25">
      <c r="B9" s="79"/>
      <c r="C9" s="79"/>
      <c r="D9" s="79"/>
      <c r="H9" s="79"/>
    </row>
    <row r="10" spans="1:17" x14ac:dyDescent="0.25">
      <c r="B10" s="78" t="s">
        <v>174</v>
      </c>
      <c r="C10" s="79"/>
      <c r="D10" s="81">
        <v>2366788451.8541279</v>
      </c>
      <c r="F10" s="67">
        <f>+'Account Corrections'!P89</f>
        <v>18065.560686024837</v>
      </c>
      <c r="H10" s="81">
        <f>+D10+F10</f>
        <v>2366806517.414814</v>
      </c>
    </row>
    <row r="11" spans="1:17" x14ac:dyDescent="0.25">
      <c r="B11" s="79"/>
      <c r="C11" s="79"/>
      <c r="D11" s="79"/>
      <c r="H11" s="79"/>
    </row>
    <row r="12" spans="1:17" x14ac:dyDescent="0.25">
      <c r="B12" s="78" t="s">
        <v>175</v>
      </c>
      <c r="C12" s="79"/>
      <c r="D12" s="82">
        <v>7.4151777813719497E-2</v>
      </c>
      <c r="H12" s="82">
        <f>+D12</f>
        <v>7.4151777813719497E-2</v>
      </c>
    </row>
    <row r="13" spans="1:17" x14ac:dyDescent="0.25">
      <c r="B13" s="79"/>
      <c r="C13" s="73"/>
      <c r="D13" s="79"/>
      <c r="H13" s="79"/>
    </row>
    <row r="14" spans="1:17" x14ac:dyDescent="0.25">
      <c r="B14" s="83" t="s">
        <v>176</v>
      </c>
      <c r="C14" s="73"/>
      <c r="D14" s="79">
        <f>ROUND(+D10*D12,0)</f>
        <v>175501571</v>
      </c>
      <c r="H14" s="79">
        <f>ROUND(+H10*H12,0)</f>
        <v>175502911</v>
      </c>
    </row>
    <row r="15" spans="1:17" x14ac:dyDescent="0.25">
      <c r="B15" s="73"/>
      <c r="C15" s="73"/>
      <c r="D15" s="79"/>
      <c r="H15" s="79"/>
    </row>
    <row r="16" spans="1:17" x14ac:dyDescent="0.25">
      <c r="B16" s="83" t="s">
        <v>177</v>
      </c>
      <c r="C16" s="73"/>
      <c r="D16" s="84">
        <v>72337240.437833011</v>
      </c>
      <c r="F16" s="67">
        <f>-'Account Corrections'!P95</f>
        <v>25179.371561293861</v>
      </c>
      <c r="H16" s="84">
        <f>+D16+F16</f>
        <v>72362419.8093943</v>
      </c>
    </row>
    <row r="17" spans="2:8" x14ac:dyDescent="0.25">
      <c r="B17" s="73"/>
      <c r="C17" s="73"/>
      <c r="D17" s="80"/>
      <c r="H17" s="80"/>
    </row>
    <row r="18" spans="2:8" x14ac:dyDescent="0.25">
      <c r="B18" s="83" t="s">
        <v>178</v>
      </c>
      <c r="C18" s="73"/>
      <c r="D18" s="81">
        <f>D14-D16</f>
        <v>103164330.56216699</v>
      </c>
      <c r="H18" s="81">
        <f>H14-H16</f>
        <v>103140491.1906057</v>
      </c>
    </row>
    <row r="19" spans="2:8" x14ac:dyDescent="0.25">
      <c r="B19" s="73"/>
      <c r="C19" s="73"/>
      <c r="D19" s="79"/>
      <c r="H19" s="79"/>
    </row>
    <row r="20" spans="2:8" x14ac:dyDescent="0.25">
      <c r="B20" s="83" t="s">
        <v>179</v>
      </c>
      <c r="C20" s="73"/>
      <c r="D20" s="85">
        <v>1.35</v>
      </c>
      <c r="H20" s="85">
        <v>1.35</v>
      </c>
    </row>
    <row r="21" spans="2:8" x14ac:dyDescent="0.25">
      <c r="B21" s="73"/>
      <c r="C21" s="73"/>
      <c r="D21" s="80"/>
      <c r="H21" s="80"/>
    </row>
    <row r="22" spans="2:8" ht="15.75" thickBot="1" x14ac:dyDescent="0.3">
      <c r="B22" s="83" t="s">
        <v>180</v>
      </c>
      <c r="C22" s="73"/>
      <c r="D22" s="86">
        <f>ROUND(+D18*D20,0)</f>
        <v>139271846</v>
      </c>
      <c r="H22" s="86">
        <f>ROUND(+H18*H20,0)</f>
        <v>139239663</v>
      </c>
    </row>
    <row r="23" spans="2:8" ht="15.75" thickTop="1" x14ac:dyDescent="0.25"/>
    <row r="25" spans="2:8" x14ac:dyDescent="0.25">
      <c r="B25" s="87" t="s">
        <v>181</v>
      </c>
      <c r="F25" s="88">
        <f>+H22-D22</f>
        <v>-32183</v>
      </c>
    </row>
  </sheetData>
  <mergeCells count="3">
    <mergeCell ref="A1:H1"/>
    <mergeCell ref="A3:Q3"/>
    <mergeCell ref="A2:Q2"/>
  </mergeCells>
  <pageMargins left="0.7" right="0.7" top="0.75" bottom="0.75" header="0.3" footer="0.3"/>
  <pageSetup orientation="landscape" horizontalDpi="90" verticalDpi="90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5E81-9DD0-4685-BE78-2FF11AB0467D}">
  <dimension ref="A1:R88"/>
  <sheetViews>
    <sheetView topLeftCell="A26" workbookViewId="0">
      <selection activeCell="D24" sqref="D24"/>
    </sheetView>
  </sheetViews>
  <sheetFormatPr defaultColWidth="9.42578125" defaultRowHeight="12.75" x14ac:dyDescent="0.2"/>
  <cols>
    <col min="1" max="1" width="10.42578125" style="16" customWidth="1"/>
    <col min="2" max="2" width="37.5703125" style="16" bestFit="1" customWidth="1"/>
    <col min="3" max="3" width="15.5703125" style="16" bestFit="1" customWidth="1"/>
    <col min="4" max="4" width="16.5703125" style="16" bestFit="1" customWidth="1"/>
    <col min="5" max="5" width="19.5703125" style="16" bestFit="1" customWidth="1"/>
    <col min="6" max="6" width="14.42578125" style="16" customWidth="1"/>
    <col min="7" max="7" width="15.5703125" style="38" bestFit="1" customWidth="1"/>
    <col min="8" max="8" width="16.5703125" style="16" bestFit="1" customWidth="1"/>
    <col min="9" max="9" width="19.5703125" style="16" bestFit="1" customWidth="1"/>
    <col min="10" max="10" width="16.5703125" style="16" bestFit="1" customWidth="1"/>
    <col min="11" max="11" width="15.5703125" style="16" customWidth="1"/>
    <col min="12" max="12" width="16" style="16" bestFit="1" customWidth="1"/>
    <col min="13" max="13" width="11" style="16" customWidth="1"/>
    <col min="14" max="14" width="14.140625" style="38" bestFit="1" customWidth="1"/>
    <col min="15" max="15" width="11.5703125" style="16" bestFit="1" customWidth="1"/>
    <col min="16" max="16" width="31.85546875" style="16" bestFit="1" customWidth="1"/>
    <col min="17" max="17" width="15.140625" style="16" bestFit="1" customWidth="1"/>
    <col min="18" max="16384" width="9.42578125" style="16"/>
  </cols>
  <sheetData>
    <row r="1" spans="1:16" ht="15" x14ac:dyDescent="0.25">
      <c r="A1" s="6" t="s">
        <v>184</v>
      </c>
    </row>
    <row r="2" spans="1:16" ht="15" x14ac:dyDescent="0.25">
      <c r="A2" s="6" t="s">
        <v>186</v>
      </c>
    </row>
    <row r="3" spans="1:16" ht="15.75" x14ac:dyDescent="0.25">
      <c r="A3" s="99" t="s">
        <v>73</v>
      </c>
    </row>
    <row r="4" spans="1:16" ht="15" x14ac:dyDescent="0.25">
      <c r="A4" s="6" t="s">
        <v>231</v>
      </c>
      <c r="C4" s="101" t="s">
        <v>232</v>
      </c>
      <c r="H4" s="101" t="s">
        <v>233</v>
      </c>
    </row>
    <row r="5" spans="1:16" ht="18" x14ac:dyDescent="0.25">
      <c r="B5" s="36"/>
      <c r="C5" s="37" t="s">
        <v>74</v>
      </c>
      <c r="D5" s="37"/>
      <c r="E5" s="37"/>
      <c r="F5" s="37"/>
      <c r="G5" s="37" t="s">
        <v>74</v>
      </c>
      <c r="H5" s="37" t="s">
        <v>75</v>
      </c>
      <c r="I5" s="37"/>
      <c r="J5" s="37"/>
      <c r="K5" s="37" t="s">
        <v>76</v>
      </c>
      <c r="L5" s="37" t="s">
        <v>76</v>
      </c>
      <c r="M5" s="37"/>
      <c r="N5" s="37" t="s">
        <v>75</v>
      </c>
      <c r="O5" s="37">
        <v>2024</v>
      </c>
    </row>
    <row r="6" spans="1:16" x14ac:dyDescent="0.2">
      <c r="A6" s="38"/>
      <c r="B6" s="38"/>
      <c r="C6" s="37">
        <v>2023</v>
      </c>
      <c r="D6" s="37"/>
      <c r="E6" s="37"/>
      <c r="F6" s="37"/>
      <c r="G6" s="37">
        <v>2024</v>
      </c>
      <c r="H6" s="37">
        <v>2023</v>
      </c>
      <c r="I6" s="37"/>
      <c r="J6" s="37"/>
      <c r="K6" s="37" t="s">
        <v>77</v>
      </c>
      <c r="L6" s="37" t="s">
        <v>78</v>
      </c>
      <c r="M6" s="37"/>
      <c r="N6" s="37">
        <v>2024</v>
      </c>
      <c r="O6" s="39" t="s">
        <v>79</v>
      </c>
    </row>
    <row r="7" spans="1:16" x14ac:dyDescent="0.2">
      <c r="A7" s="40" t="s">
        <v>0</v>
      </c>
      <c r="B7" s="41" t="s">
        <v>80</v>
      </c>
      <c r="C7" s="40" t="s">
        <v>81</v>
      </c>
      <c r="D7" s="40" t="s">
        <v>82</v>
      </c>
      <c r="E7" s="40" t="s">
        <v>83</v>
      </c>
      <c r="F7" s="40" t="s">
        <v>84</v>
      </c>
      <c r="G7" s="40" t="s">
        <v>85</v>
      </c>
      <c r="H7" s="40" t="s">
        <v>81</v>
      </c>
      <c r="I7" s="40" t="s">
        <v>86</v>
      </c>
      <c r="J7" s="40" t="s">
        <v>83</v>
      </c>
      <c r="K7" s="40" t="s">
        <v>87</v>
      </c>
      <c r="L7" s="40" t="s">
        <v>88</v>
      </c>
      <c r="M7" s="40" t="s">
        <v>84</v>
      </c>
      <c r="N7" s="40" t="s">
        <v>85</v>
      </c>
      <c r="O7" s="37" t="s">
        <v>89</v>
      </c>
    </row>
    <row r="8" spans="1:16" ht="15" x14ac:dyDescent="0.25">
      <c r="A8" s="42">
        <v>39401</v>
      </c>
      <c r="B8" s="43" t="s">
        <v>230</v>
      </c>
      <c r="C8" s="44">
        <v>2527001.42</v>
      </c>
      <c r="D8" s="44">
        <v>0</v>
      </c>
      <c r="E8" s="44">
        <v>0</v>
      </c>
      <c r="F8" s="44">
        <v>0</v>
      </c>
      <c r="G8" s="45">
        <v>2527001.42</v>
      </c>
      <c r="H8" s="44">
        <v>783732.94100000116</v>
      </c>
      <c r="I8" s="44">
        <v>128877.07241999998</v>
      </c>
      <c r="J8" s="44">
        <v>0</v>
      </c>
      <c r="K8" s="44">
        <v>0</v>
      </c>
      <c r="L8" s="44">
        <v>0</v>
      </c>
      <c r="M8" s="44">
        <v>0</v>
      </c>
      <c r="N8" s="46">
        <v>912610.01342000114</v>
      </c>
      <c r="O8" s="47">
        <v>5.0999999999999997E-2</v>
      </c>
      <c r="P8" s="97"/>
    </row>
    <row r="9" spans="1:16" ht="15" x14ac:dyDescent="0.25">
      <c r="A9" s="42">
        <v>10500</v>
      </c>
      <c r="B9" s="43" t="s">
        <v>91</v>
      </c>
      <c r="C9" s="44">
        <v>1939551.55</v>
      </c>
      <c r="D9" s="44">
        <v>0</v>
      </c>
      <c r="E9" s="44">
        <v>0</v>
      </c>
      <c r="F9" s="44">
        <v>0</v>
      </c>
      <c r="G9" s="48">
        <v>1939551.55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6">
        <v>0</v>
      </c>
      <c r="O9" s="49">
        <v>0</v>
      </c>
      <c r="P9" s="97"/>
    </row>
    <row r="10" spans="1:16" ht="15" x14ac:dyDescent="0.25">
      <c r="A10" s="42">
        <v>11501</v>
      </c>
      <c r="B10" s="43" t="s">
        <v>92</v>
      </c>
      <c r="C10" s="44">
        <v>5031897.24</v>
      </c>
      <c r="D10" s="44">
        <v>0</v>
      </c>
      <c r="E10" s="44">
        <v>0</v>
      </c>
      <c r="F10" s="44">
        <v>0</v>
      </c>
      <c r="G10" s="48">
        <v>5031897.24</v>
      </c>
      <c r="H10" s="44">
        <v>5028152.9800000144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6">
        <v>5028152.9800000144</v>
      </c>
      <c r="O10" s="49">
        <v>0</v>
      </c>
      <c r="P10" s="97"/>
    </row>
    <row r="11" spans="1:16" ht="15" x14ac:dyDescent="0.25">
      <c r="A11" s="42">
        <v>30100</v>
      </c>
      <c r="B11" s="43" t="s">
        <v>93</v>
      </c>
      <c r="C11" s="44">
        <v>12620.1</v>
      </c>
      <c r="D11" s="44">
        <v>0</v>
      </c>
      <c r="E11" s="44">
        <v>0</v>
      </c>
      <c r="F11" s="44">
        <v>0</v>
      </c>
      <c r="G11" s="48">
        <v>12620.1</v>
      </c>
      <c r="H11" s="44">
        <v>2.2737367544323206E-13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6">
        <v>2.2737367544323206E-13</v>
      </c>
      <c r="O11" s="49">
        <v>0</v>
      </c>
      <c r="P11" s="97"/>
    </row>
    <row r="12" spans="1:16" ht="15" x14ac:dyDescent="0.25">
      <c r="A12" s="42">
        <v>30200</v>
      </c>
      <c r="B12" s="43" t="s">
        <v>94</v>
      </c>
      <c r="C12" s="44">
        <v>0</v>
      </c>
      <c r="D12" s="44">
        <v>0</v>
      </c>
      <c r="E12" s="44">
        <v>0</v>
      </c>
      <c r="F12" s="44">
        <v>0</v>
      </c>
      <c r="G12" s="48">
        <v>0</v>
      </c>
      <c r="H12" s="44">
        <v>1.9258550310041755E-10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6">
        <v>1.9258550310041755E-10</v>
      </c>
      <c r="O12" s="49">
        <v>0.04</v>
      </c>
      <c r="P12" s="97"/>
    </row>
    <row r="13" spans="1:16" ht="15" x14ac:dyDescent="0.25">
      <c r="A13" s="42">
        <v>30300</v>
      </c>
      <c r="B13" s="43" t="s">
        <v>95</v>
      </c>
      <c r="C13" s="44">
        <v>815325.07000000007</v>
      </c>
      <c r="D13" s="44">
        <v>0</v>
      </c>
      <c r="E13" s="44">
        <v>0</v>
      </c>
      <c r="F13" s="44">
        <v>0</v>
      </c>
      <c r="G13" s="48">
        <v>815325.07000000007</v>
      </c>
      <c r="H13" s="44">
        <v>815325.0699999989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6">
        <v>815325.0699999989</v>
      </c>
      <c r="O13" s="49">
        <v>0.04</v>
      </c>
      <c r="P13" s="97"/>
    </row>
    <row r="14" spans="1:16" ht="15" x14ac:dyDescent="0.25">
      <c r="A14" s="42">
        <v>30301</v>
      </c>
      <c r="B14" s="43" t="s">
        <v>96</v>
      </c>
      <c r="C14" s="44">
        <v>110526643.99000001</v>
      </c>
      <c r="D14" s="44">
        <v>14303044.800000003</v>
      </c>
      <c r="E14" s="44">
        <v>0</v>
      </c>
      <c r="F14" s="44">
        <v>0</v>
      </c>
      <c r="G14" s="48">
        <v>124829688.79000001</v>
      </c>
      <c r="H14" s="44">
        <v>30148268.771823503</v>
      </c>
      <c r="I14" s="44">
        <v>7375232.0699199988</v>
      </c>
      <c r="J14" s="44">
        <v>0</v>
      </c>
      <c r="K14" s="44">
        <v>0</v>
      </c>
      <c r="L14" s="44">
        <v>0</v>
      </c>
      <c r="M14" s="44">
        <v>0</v>
      </c>
      <c r="N14" s="46">
        <v>37523500.841743499</v>
      </c>
      <c r="O14" s="49">
        <v>6.6000000000000003E-2</v>
      </c>
      <c r="P14" s="97"/>
    </row>
    <row r="15" spans="1:16" ht="15" x14ac:dyDescent="0.25">
      <c r="A15" s="42">
        <v>30302</v>
      </c>
      <c r="B15" s="43" t="s">
        <v>97</v>
      </c>
      <c r="C15" s="44">
        <v>0</v>
      </c>
      <c r="D15" s="44">
        <v>0</v>
      </c>
      <c r="E15" s="44">
        <v>0</v>
      </c>
      <c r="F15" s="44">
        <v>0</v>
      </c>
      <c r="G15" s="48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6">
        <v>0</v>
      </c>
      <c r="O15" s="49">
        <v>0</v>
      </c>
      <c r="P15" s="97"/>
    </row>
    <row r="16" spans="1:16" ht="15" x14ac:dyDescent="0.25">
      <c r="A16" s="42">
        <v>33600</v>
      </c>
      <c r="B16" s="43" t="s">
        <v>98</v>
      </c>
      <c r="C16" s="44">
        <v>16109646.340000002</v>
      </c>
      <c r="D16" s="44">
        <v>0</v>
      </c>
      <c r="E16" s="44">
        <v>0</v>
      </c>
      <c r="F16" s="44">
        <v>0</v>
      </c>
      <c r="G16" s="48">
        <v>16109646.340000002</v>
      </c>
      <c r="H16" s="44">
        <v>515471.1447375</v>
      </c>
      <c r="I16" s="44">
        <v>547727.97556000005</v>
      </c>
      <c r="J16" s="44">
        <v>0</v>
      </c>
      <c r="K16" s="44">
        <v>0</v>
      </c>
      <c r="L16" s="44">
        <v>0</v>
      </c>
      <c r="M16" s="44">
        <v>0</v>
      </c>
      <c r="N16" s="46">
        <v>1063199.1202974999</v>
      </c>
      <c r="O16" s="49">
        <v>3.4000000000000002E-2</v>
      </c>
      <c r="P16" s="97"/>
    </row>
    <row r="17" spans="1:16" ht="15" x14ac:dyDescent="0.25">
      <c r="A17" s="42">
        <v>36400</v>
      </c>
      <c r="B17" s="43" t="s">
        <v>99</v>
      </c>
      <c r="C17" s="44">
        <v>1485380.05</v>
      </c>
      <c r="D17" s="44">
        <v>17975.919999999925</v>
      </c>
      <c r="E17" s="44">
        <v>0</v>
      </c>
      <c r="F17" s="44">
        <v>0</v>
      </c>
      <c r="G17" s="48">
        <v>1503355.97</v>
      </c>
      <c r="H17" s="44">
        <v>25561.084675000002</v>
      </c>
      <c r="I17" s="44">
        <v>52522.942704166664</v>
      </c>
      <c r="J17" s="44">
        <v>0</v>
      </c>
      <c r="K17" s="44">
        <v>0</v>
      </c>
      <c r="L17" s="44">
        <v>0</v>
      </c>
      <c r="M17" s="44">
        <v>0</v>
      </c>
      <c r="N17" s="46">
        <v>78084.02737916667</v>
      </c>
      <c r="O17" s="49">
        <v>3.5000000000000003E-2</v>
      </c>
      <c r="P17" s="97"/>
    </row>
    <row r="18" spans="1:16" ht="15" x14ac:dyDescent="0.25">
      <c r="A18" s="42">
        <v>37400</v>
      </c>
      <c r="B18" s="43" t="s">
        <v>100</v>
      </c>
      <c r="C18" s="44">
        <v>16157149.27</v>
      </c>
      <c r="D18" s="44">
        <v>0</v>
      </c>
      <c r="E18" s="44">
        <v>0</v>
      </c>
      <c r="F18" s="44">
        <v>0</v>
      </c>
      <c r="G18" s="48">
        <v>16157149.27</v>
      </c>
      <c r="H18" s="44">
        <v>-60224.600000000413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6">
        <v>-60224.600000000413</v>
      </c>
      <c r="O18" s="49">
        <v>0</v>
      </c>
      <c r="P18" s="97"/>
    </row>
    <row r="19" spans="1:16" ht="15" x14ac:dyDescent="0.25">
      <c r="A19" s="42">
        <v>37402</v>
      </c>
      <c r="B19" s="43" t="s">
        <v>101</v>
      </c>
      <c r="C19" s="44">
        <v>4268872.66</v>
      </c>
      <c r="D19" s="44">
        <v>0</v>
      </c>
      <c r="E19" s="44">
        <v>0</v>
      </c>
      <c r="F19" s="44">
        <v>0</v>
      </c>
      <c r="G19" s="48">
        <v>4268872.66</v>
      </c>
      <c r="H19" s="44">
        <v>1094629.2845799963</v>
      </c>
      <c r="I19" s="44">
        <v>55495.344580000012</v>
      </c>
      <c r="J19" s="44">
        <v>0</v>
      </c>
      <c r="K19" s="44">
        <v>0</v>
      </c>
      <c r="L19" s="44">
        <v>0</v>
      </c>
      <c r="M19" s="44">
        <v>0</v>
      </c>
      <c r="N19" s="46">
        <v>1150124.6291599963</v>
      </c>
      <c r="O19" s="49">
        <v>1.2999999999999999E-2</v>
      </c>
      <c r="P19" s="97"/>
    </row>
    <row r="20" spans="1:16" ht="15" x14ac:dyDescent="0.25">
      <c r="A20" s="42">
        <v>37500</v>
      </c>
      <c r="B20" s="43" t="s">
        <v>102</v>
      </c>
      <c r="C20" s="44">
        <v>31386680.030800011</v>
      </c>
      <c r="D20" s="44">
        <v>12123218.999999998</v>
      </c>
      <c r="E20" s="44">
        <v>-969857.52</v>
      </c>
      <c r="F20" s="44">
        <v>0</v>
      </c>
      <c r="G20" s="48">
        <v>42540041.510800004</v>
      </c>
      <c r="H20" s="44">
        <v>8889159.1214909013</v>
      </c>
      <c r="I20" s="44">
        <v>951000.07770233392</v>
      </c>
      <c r="J20" s="44">
        <v>-969857.52</v>
      </c>
      <c r="K20" s="44">
        <v>0</v>
      </c>
      <c r="L20" s="44">
        <v>0</v>
      </c>
      <c r="M20" s="44">
        <v>0</v>
      </c>
      <c r="N20" s="46">
        <v>8870301.6791932359</v>
      </c>
      <c r="O20" s="49">
        <v>2.9000000000000001E-2</v>
      </c>
      <c r="P20" s="97"/>
    </row>
    <row r="21" spans="1:16" ht="15" x14ac:dyDescent="0.25">
      <c r="A21" s="42">
        <v>37600</v>
      </c>
      <c r="B21" s="43" t="s">
        <v>103</v>
      </c>
      <c r="C21" s="44">
        <v>826292081.12680876</v>
      </c>
      <c r="D21" s="44">
        <v>14028807.663222639</v>
      </c>
      <c r="E21" s="44">
        <v>-896053.9344935203</v>
      </c>
      <c r="F21" s="44">
        <v>0</v>
      </c>
      <c r="G21" s="48">
        <v>839424834.85553789</v>
      </c>
      <c r="H21" s="44">
        <v>202174502.97406608</v>
      </c>
      <c r="I21" s="44">
        <v>19993680.876607511</v>
      </c>
      <c r="J21" s="44">
        <v>-896053.9344935203</v>
      </c>
      <c r="K21" s="44">
        <v>-5505.9500000000007</v>
      </c>
      <c r="L21" s="44">
        <v>-33035.699999999997</v>
      </c>
      <c r="M21" s="44">
        <v>0</v>
      </c>
      <c r="N21" s="46">
        <v>221233588.2661801</v>
      </c>
      <c r="O21" s="49">
        <v>2.4E-2</v>
      </c>
      <c r="P21" s="97"/>
    </row>
    <row r="22" spans="1:16" ht="15" x14ac:dyDescent="0.25">
      <c r="A22" s="42">
        <v>37602</v>
      </c>
      <c r="B22" s="43" t="s">
        <v>104</v>
      </c>
      <c r="C22" s="44">
        <v>961474232.53461218</v>
      </c>
      <c r="D22" s="44">
        <v>124233377.74835862</v>
      </c>
      <c r="E22" s="44">
        <v>-9386344.2405626103</v>
      </c>
      <c r="F22" s="44">
        <v>0</v>
      </c>
      <c r="G22" s="48">
        <v>1076321266.0424082</v>
      </c>
      <c r="H22" s="44">
        <v>211166625.88731781</v>
      </c>
      <c r="I22" s="44">
        <v>18189262.523299549</v>
      </c>
      <c r="J22" s="44">
        <v>-9386344.2405626103</v>
      </c>
      <c r="K22" s="44">
        <v>0</v>
      </c>
      <c r="L22" s="44">
        <v>-6848015.2300000023</v>
      </c>
      <c r="M22" s="44">
        <v>0</v>
      </c>
      <c r="N22" s="46">
        <v>213121528.94005474</v>
      </c>
      <c r="O22" s="49">
        <v>1.7999999999999999E-2</v>
      </c>
      <c r="P22" s="97"/>
    </row>
    <row r="23" spans="1:16" ht="15" x14ac:dyDescent="0.25">
      <c r="A23" s="42">
        <v>37700</v>
      </c>
      <c r="B23" s="43" t="s">
        <v>105</v>
      </c>
      <c r="C23" s="44">
        <v>19187297.899999999</v>
      </c>
      <c r="D23" s="44">
        <v>0</v>
      </c>
      <c r="E23" s="44">
        <v>0</v>
      </c>
      <c r="F23" s="44">
        <v>0</v>
      </c>
      <c r="G23" s="48">
        <v>19187297.899999999</v>
      </c>
      <c r="H23" s="44">
        <v>1345774.2670000002</v>
      </c>
      <c r="I23" s="44">
        <v>575618.93700000003</v>
      </c>
      <c r="J23" s="44">
        <v>0</v>
      </c>
      <c r="K23" s="44">
        <v>0</v>
      </c>
      <c r="L23" s="44">
        <v>0</v>
      </c>
      <c r="M23" s="44">
        <v>0</v>
      </c>
      <c r="N23" s="46">
        <v>1921393.2040000004</v>
      </c>
      <c r="O23" s="49">
        <v>0.03</v>
      </c>
      <c r="P23" s="97"/>
    </row>
    <row r="24" spans="1:16" ht="15" x14ac:dyDescent="0.25">
      <c r="A24" s="42">
        <v>37800</v>
      </c>
      <c r="B24" s="43" t="s">
        <v>106</v>
      </c>
      <c r="C24" s="44">
        <v>22151056.5068</v>
      </c>
      <c r="D24" s="44">
        <v>736667</v>
      </c>
      <c r="E24" s="44">
        <v>-58933.360000000008</v>
      </c>
      <c r="F24" s="44">
        <v>0</v>
      </c>
      <c r="G24" s="48">
        <v>22828790.1468</v>
      </c>
      <c r="H24" s="44">
        <v>5803971.3608217975</v>
      </c>
      <c r="I24" s="44">
        <v>678531.0293040002</v>
      </c>
      <c r="J24" s="44">
        <v>-58933.360000000008</v>
      </c>
      <c r="K24" s="44">
        <v>0</v>
      </c>
      <c r="L24" s="44">
        <v>0</v>
      </c>
      <c r="M24" s="44">
        <v>0</v>
      </c>
      <c r="N24" s="46">
        <v>6423569.0301257977</v>
      </c>
      <c r="O24" s="49">
        <v>0.03</v>
      </c>
      <c r="P24" s="97"/>
    </row>
    <row r="25" spans="1:16" ht="15" x14ac:dyDescent="0.25">
      <c r="A25" s="42">
        <v>37900</v>
      </c>
      <c r="B25" s="43" t="s">
        <v>107</v>
      </c>
      <c r="C25" s="44">
        <v>116022316.78160004</v>
      </c>
      <c r="D25" s="44">
        <v>7298344</v>
      </c>
      <c r="E25" s="44">
        <v>-583867.52</v>
      </c>
      <c r="F25" s="44">
        <v>0</v>
      </c>
      <c r="G25" s="48">
        <v>122736793.26160005</v>
      </c>
      <c r="H25" s="44">
        <v>19487316.672034327</v>
      </c>
      <c r="I25" s="44">
        <v>2589142.0322812009</v>
      </c>
      <c r="J25" s="44">
        <v>-583867.52</v>
      </c>
      <c r="K25" s="44">
        <v>0</v>
      </c>
      <c r="L25" s="44">
        <v>0</v>
      </c>
      <c r="M25" s="44">
        <v>0</v>
      </c>
      <c r="N25" s="46">
        <v>21492591.184315529</v>
      </c>
      <c r="O25" s="49">
        <v>2.1999999999999999E-2</v>
      </c>
      <c r="P25" s="97"/>
    </row>
    <row r="26" spans="1:16" ht="15" x14ac:dyDescent="0.25">
      <c r="A26" s="42">
        <v>38000</v>
      </c>
      <c r="B26" s="43" t="s">
        <v>108</v>
      </c>
      <c r="C26" s="44">
        <v>68085342.290000007</v>
      </c>
      <c r="D26" s="44">
        <v>0</v>
      </c>
      <c r="E26" s="44">
        <v>0</v>
      </c>
      <c r="F26" s="44">
        <v>0</v>
      </c>
      <c r="G26" s="48">
        <v>68085342.290000007</v>
      </c>
      <c r="H26" s="44">
        <v>42441602.101600066</v>
      </c>
      <c r="I26" s="44">
        <v>2927669.7184700002</v>
      </c>
      <c r="J26" s="44">
        <v>0</v>
      </c>
      <c r="K26" s="44">
        <v>0</v>
      </c>
      <c r="L26" s="44">
        <v>0</v>
      </c>
      <c r="M26" s="44">
        <v>0</v>
      </c>
      <c r="N26" s="46">
        <v>45369271.820070066</v>
      </c>
      <c r="O26" s="49">
        <v>4.2999999999999997E-2</v>
      </c>
      <c r="P26" s="97"/>
    </row>
    <row r="27" spans="1:16" ht="15" x14ac:dyDescent="0.25">
      <c r="A27" s="42">
        <v>38002</v>
      </c>
      <c r="B27" s="43" t="s">
        <v>109</v>
      </c>
      <c r="C27" s="44">
        <v>610080538.33359969</v>
      </c>
      <c r="D27" s="44">
        <v>62511257.599999994</v>
      </c>
      <c r="E27" s="44">
        <v>-5000900.608</v>
      </c>
      <c r="F27" s="44">
        <v>0</v>
      </c>
      <c r="G27" s="48">
        <v>667590895.32559967</v>
      </c>
      <c r="H27" s="44">
        <v>211877747.51803452</v>
      </c>
      <c r="I27" s="44">
        <v>19729700.564801238</v>
      </c>
      <c r="J27" s="44">
        <v>-5000900.608</v>
      </c>
      <c r="K27" s="44">
        <v>0</v>
      </c>
      <c r="L27" s="44">
        <v>-5476331.8800000018</v>
      </c>
      <c r="M27" s="44">
        <v>0</v>
      </c>
      <c r="N27" s="46">
        <v>221130215.59483576</v>
      </c>
      <c r="O27" s="49">
        <v>3.1E-2</v>
      </c>
      <c r="P27" s="97"/>
    </row>
    <row r="28" spans="1:16" ht="15" x14ac:dyDescent="0.25">
      <c r="A28" s="42">
        <v>38100</v>
      </c>
      <c r="B28" s="43" t="s">
        <v>110</v>
      </c>
      <c r="C28" s="44">
        <v>99270694.281199992</v>
      </c>
      <c r="D28" s="44">
        <v>15370700.000665599</v>
      </c>
      <c r="E28" s="44">
        <v>-1229656.0000532479</v>
      </c>
      <c r="F28" s="44">
        <v>0</v>
      </c>
      <c r="G28" s="48">
        <v>113411738.28181235</v>
      </c>
      <c r="H28" s="44">
        <v>41990333.264870122</v>
      </c>
      <c r="I28" s="44">
        <v>4964199.7932967348</v>
      </c>
      <c r="J28" s="44">
        <v>-1229656.0000532479</v>
      </c>
      <c r="K28" s="44">
        <v>0</v>
      </c>
      <c r="L28" s="44">
        <v>0</v>
      </c>
      <c r="M28" s="44">
        <v>0</v>
      </c>
      <c r="N28" s="46">
        <v>45724877.058113605</v>
      </c>
      <c r="O28" s="49">
        <v>4.7E-2</v>
      </c>
      <c r="P28" s="97"/>
    </row>
    <row r="29" spans="1:16" ht="15" x14ac:dyDescent="0.25">
      <c r="A29" s="42">
        <v>38200</v>
      </c>
      <c r="B29" s="43" t="s">
        <v>111</v>
      </c>
      <c r="C29" s="44">
        <v>105820491.27528127</v>
      </c>
      <c r="D29" s="44">
        <v>14527639.261068391</v>
      </c>
      <c r="E29" s="44">
        <v>-1162211.1408854714</v>
      </c>
      <c r="F29" s="44">
        <v>0</v>
      </c>
      <c r="G29" s="48">
        <v>119185919.39546418</v>
      </c>
      <c r="H29" s="44">
        <v>38080014.486180432</v>
      </c>
      <c r="I29" s="44">
        <v>3019238.1549912849</v>
      </c>
      <c r="J29" s="44">
        <v>-1162211.1408854714</v>
      </c>
      <c r="K29" s="44">
        <v>0</v>
      </c>
      <c r="L29" s="44">
        <v>-716706.4800000001</v>
      </c>
      <c r="M29" s="44">
        <v>0</v>
      </c>
      <c r="N29" s="46">
        <v>39220335.020286247</v>
      </c>
      <c r="O29" s="49">
        <v>2.7E-2</v>
      </c>
      <c r="P29" s="97"/>
    </row>
    <row r="30" spans="1:16" ht="15" x14ac:dyDescent="0.25">
      <c r="A30" s="42">
        <v>38300</v>
      </c>
      <c r="B30" s="43" t="s">
        <v>112</v>
      </c>
      <c r="C30" s="44">
        <v>20766817.198400009</v>
      </c>
      <c r="D30" s="44">
        <v>974000.00000000012</v>
      </c>
      <c r="E30" s="44">
        <v>-77920</v>
      </c>
      <c r="F30" s="44">
        <v>0</v>
      </c>
      <c r="G30" s="48">
        <v>21662897.198400009</v>
      </c>
      <c r="H30" s="44">
        <v>9389570.7072937917</v>
      </c>
      <c r="I30" s="44">
        <v>444746.53639080015</v>
      </c>
      <c r="J30" s="44">
        <v>-77920</v>
      </c>
      <c r="K30" s="44">
        <v>0</v>
      </c>
      <c r="L30" s="44">
        <v>0</v>
      </c>
      <c r="M30" s="44">
        <v>0</v>
      </c>
      <c r="N30" s="46">
        <v>9756397.2436845917</v>
      </c>
      <c r="O30" s="49">
        <v>2.1000000000000001E-2</v>
      </c>
      <c r="P30" s="97"/>
    </row>
    <row r="31" spans="1:16" ht="15" x14ac:dyDescent="0.25">
      <c r="A31" s="42">
        <v>38400</v>
      </c>
      <c r="B31" s="43" t="s">
        <v>113</v>
      </c>
      <c r="C31" s="44">
        <v>38677154.93</v>
      </c>
      <c r="D31" s="44">
        <v>0</v>
      </c>
      <c r="E31" s="44">
        <v>0</v>
      </c>
      <c r="F31" s="44">
        <v>0</v>
      </c>
      <c r="G31" s="48">
        <v>38677154.93</v>
      </c>
      <c r="H31" s="44">
        <v>16188800.553669995</v>
      </c>
      <c r="I31" s="44">
        <v>928251.7183200001</v>
      </c>
      <c r="J31" s="44">
        <v>0</v>
      </c>
      <c r="K31" s="44">
        <v>0</v>
      </c>
      <c r="L31" s="44">
        <v>0</v>
      </c>
      <c r="M31" s="44">
        <v>0</v>
      </c>
      <c r="N31" s="46">
        <v>17117052.271989994</v>
      </c>
      <c r="O31" s="49">
        <v>2.4E-2</v>
      </c>
      <c r="P31" s="97"/>
    </row>
    <row r="32" spans="1:16" ht="15" x14ac:dyDescent="0.25">
      <c r="A32" s="42">
        <v>38500</v>
      </c>
      <c r="B32" s="43" t="s">
        <v>114</v>
      </c>
      <c r="C32" s="44">
        <v>15196826.640000001</v>
      </c>
      <c r="D32" s="44">
        <v>0</v>
      </c>
      <c r="E32" s="44">
        <v>0</v>
      </c>
      <c r="F32" s="44">
        <v>0</v>
      </c>
      <c r="G32" s="48">
        <v>15196826.640000001</v>
      </c>
      <c r="H32" s="44">
        <v>7331118.032720007</v>
      </c>
      <c r="I32" s="44">
        <v>334330.18607999996</v>
      </c>
      <c r="J32" s="44">
        <v>0</v>
      </c>
      <c r="K32" s="44">
        <v>0</v>
      </c>
      <c r="L32" s="44">
        <v>0</v>
      </c>
      <c r="M32" s="44">
        <v>0</v>
      </c>
      <c r="N32" s="46">
        <v>7665448.2188000074</v>
      </c>
      <c r="O32" s="49">
        <v>2.1999999999999999E-2</v>
      </c>
      <c r="P32" s="97"/>
    </row>
    <row r="33" spans="1:16" ht="15" x14ac:dyDescent="0.25">
      <c r="A33" s="42">
        <v>38602</v>
      </c>
      <c r="B33" s="43" t="s">
        <v>115</v>
      </c>
      <c r="C33" s="44">
        <v>0</v>
      </c>
      <c r="D33" s="44">
        <v>0</v>
      </c>
      <c r="E33" s="44">
        <v>0</v>
      </c>
      <c r="F33" s="44">
        <v>0</v>
      </c>
      <c r="G33" s="48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6">
        <v>0</v>
      </c>
      <c r="O33" s="49">
        <v>0</v>
      </c>
      <c r="P33" s="97"/>
    </row>
    <row r="34" spans="1:16" ht="15" x14ac:dyDescent="0.25">
      <c r="A34" s="42">
        <v>38608</v>
      </c>
      <c r="B34" s="43" t="s">
        <v>116</v>
      </c>
      <c r="C34" s="44">
        <v>0</v>
      </c>
      <c r="D34" s="44">
        <v>0</v>
      </c>
      <c r="E34" s="44">
        <v>0</v>
      </c>
      <c r="F34" s="44">
        <v>0</v>
      </c>
      <c r="G34" s="48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6">
        <v>0</v>
      </c>
      <c r="O34" s="49">
        <v>0</v>
      </c>
      <c r="P34" s="97"/>
    </row>
    <row r="35" spans="1:16" ht="15" x14ac:dyDescent="0.25">
      <c r="A35" s="42">
        <v>38700</v>
      </c>
      <c r="B35" s="43" t="s">
        <v>117</v>
      </c>
      <c r="C35" s="44">
        <v>13431843.029999996</v>
      </c>
      <c r="D35" s="44">
        <v>0</v>
      </c>
      <c r="E35" s="44">
        <v>0</v>
      </c>
      <c r="F35" s="44">
        <v>0</v>
      </c>
      <c r="G35" s="48">
        <v>13431843.029999996</v>
      </c>
      <c r="H35" s="44">
        <v>5833154.0609000009</v>
      </c>
      <c r="I35" s="44">
        <v>402955.29089999973</v>
      </c>
      <c r="J35" s="44">
        <v>0</v>
      </c>
      <c r="K35" s="44">
        <v>0</v>
      </c>
      <c r="L35" s="44">
        <v>0</v>
      </c>
      <c r="M35" s="44">
        <v>0</v>
      </c>
      <c r="N35" s="46">
        <v>6236109.3518000003</v>
      </c>
      <c r="O35" s="49">
        <v>0.03</v>
      </c>
      <c r="P35" s="97"/>
    </row>
    <row r="36" spans="1:16" ht="15" x14ac:dyDescent="0.25">
      <c r="A36" s="42">
        <v>39000</v>
      </c>
      <c r="B36" s="43" t="s">
        <v>118</v>
      </c>
      <c r="C36" s="44">
        <v>528908.93119999999</v>
      </c>
      <c r="D36" s="44">
        <v>0</v>
      </c>
      <c r="E36" s="44">
        <v>0</v>
      </c>
      <c r="F36" s="44">
        <v>0</v>
      </c>
      <c r="G36" s="48">
        <v>528908.93119999999</v>
      </c>
      <c r="H36" s="44">
        <v>-18293.201998400094</v>
      </c>
      <c r="I36" s="44">
        <v>21685.2661792</v>
      </c>
      <c r="J36" s="44">
        <v>0</v>
      </c>
      <c r="K36" s="44">
        <v>0</v>
      </c>
      <c r="L36" s="44">
        <v>0</v>
      </c>
      <c r="M36" s="44">
        <v>0</v>
      </c>
      <c r="N36" s="46">
        <v>3392.0641807999054</v>
      </c>
      <c r="O36" s="49">
        <v>4.1000000000000002E-2</v>
      </c>
      <c r="P36" s="97"/>
    </row>
    <row r="37" spans="1:16" ht="15" x14ac:dyDescent="0.25">
      <c r="A37" s="42">
        <v>39002</v>
      </c>
      <c r="B37" s="43" t="s">
        <v>119</v>
      </c>
      <c r="C37" s="44">
        <v>134159.97</v>
      </c>
      <c r="D37" s="44">
        <v>0</v>
      </c>
      <c r="E37" s="44">
        <v>0</v>
      </c>
      <c r="F37" s="44">
        <v>0</v>
      </c>
      <c r="G37" s="48">
        <v>134159.97</v>
      </c>
      <c r="H37" s="44">
        <v>36674.979280000014</v>
      </c>
      <c r="I37" s="44">
        <v>5500.5587700000005</v>
      </c>
      <c r="J37" s="44">
        <v>0</v>
      </c>
      <c r="K37" s="44">
        <v>0</v>
      </c>
      <c r="L37" s="44">
        <v>0</v>
      </c>
      <c r="M37" s="44">
        <v>0</v>
      </c>
      <c r="N37" s="46">
        <v>42175.538050000017</v>
      </c>
      <c r="O37" s="49">
        <v>4.1000000000000002E-2</v>
      </c>
      <c r="P37" s="97"/>
    </row>
    <row r="38" spans="1:16" ht="15" x14ac:dyDescent="0.25">
      <c r="A38" s="42">
        <v>39100</v>
      </c>
      <c r="B38" s="43" t="s">
        <v>120</v>
      </c>
      <c r="C38" s="44">
        <v>2151949.73</v>
      </c>
      <c r="D38" s="44">
        <v>40500.000000000029</v>
      </c>
      <c r="E38" s="44">
        <v>0</v>
      </c>
      <c r="F38" s="44">
        <v>0</v>
      </c>
      <c r="G38" s="48">
        <v>2192449.73</v>
      </c>
      <c r="H38" s="44">
        <v>1114167.3792016271</v>
      </c>
      <c r="I38" s="44">
        <v>110669.56029499994</v>
      </c>
      <c r="J38" s="44">
        <v>0</v>
      </c>
      <c r="K38" s="44">
        <v>0</v>
      </c>
      <c r="L38" s="44">
        <v>0</v>
      </c>
      <c r="M38" s="44">
        <v>0</v>
      </c>
      <c r="N38" s="46">
        <v>1224836.9394966271</v>
      </c>
      <c r="O38" s="49">
        <v>5.0999999999999997E-2</v>
      </c>
      <c r="P38" s="97"/>
    </row>
    <row r="39" spans="1:16" ht="15" x14ac:dyDescent="0.25">
      <c r="A39" s="42">
        <v>39101</v>
      </c>
      <c r="B39" s="43" t="s">
        <v>121</v>
      </c>
      <c r="C39" s="44">
        <v>5932305.8574910183</v>
      </c>
      <c r="D39" s="44">
        <v>491651.28750897286</v>
      </c>
      <c r="E39" s="44">
        <v>0</v>
      </c>
      <c r="F39" s="44">
        <v>0</v>
      </c>
      <c r="G39" s="48">
        <v>6423957.1449999912</v>
      </c>
      <c r="H39" s="44">
        <v>3431578.3103643847</v>
      </c>
      <c r="I39" s="44">
        <v>492645.77927075862</v>
      </c>
      <c r="J39" s="44">
        <v>0</v>
      </c>
      <c r="K39" s="44">
        <v>0</v>
      </c>
      <c r="L39" s="44">
        <v>-75.11999999999999</v>
      </c>
      <c r="M39" s="44">
        <v>0</v>
      </c>
      <c r="N39" s="46">
        <v>3924148.9696351429</v>
      </c>
      <c r="O39" s="49">
        <v>0.08</v>
      </c>
      <c r="P39" s="97"/>
    </row>
    <row r="40" spans="1:16" ht="15" x14ac:dyDescent="0.25">
      <c r="A40" s="42">
        <v>39102</v>
      </c>
      <c r="B40" s="43" t="s">
        <v>122</v>
      </c>
      <c r="C40" s="44">
        <v>1529673.7899999998</v>
      </c>
      <c r="D40" s="44">
        <v>0</v>
      </c>
      <c r="E40" s="44">
        <v>0</v>
      </c>
      <c r="F40" s="44">
        <v>0</v>
      </c>
      <c r="G40" s="48">
        <v>1529673.7899999998</v>
      </c>
      <c r="H40" s="44">
        <v>965279.09392999916</v>
      </c>
      <c r="I40" s="44">
        <v>93310.101190000001</v>
      </c>
      <c r="J40" s="44">
        <v>0</v>
      </c>
      <c r="K40" s="44">
        <v>0</v>
      </c>
      <c r="L40" s="44">
        <v>0</v>
      </c>
      <c r="M40" s="44">
        <v>0</v>
      </c>
      <c r="N40" s="46">
        <v>1058589.1951199991</v>
      </c>
      <c r="O40" s="49">
        <v>6.0999999999999999E-2</v>
      </c>
      <c r="P40" s="97"/>
    </row>
    <row r="41" spans="1:16" ht="15" x14ac:dyDescent="0.25">
      <c r="A41" s="42">
        <v>39103</v>
      </c>
      <c r="B41" s="43" t="s">
        <v>123</v>
      </c>
      <c r="C41" s="44">
        <v>0</v>
      </c>
      <c r="D41" s="44">
        <v>0</v>
      </c>
      <c r="E41" s="44">
        <v>0</v>
      </c>
      <c r="F41" s="44">
        <v>0</v>
      </c>
      <c r="G41" s="48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6">
        <v>0</v>
      </c>
      <c r="O41" s="49">
        <v>0</v>
      </c>
      <c r="P41" s="97"/>
    </row>
    <row r="42" spans="1:16" ht="15" x14ac:dyDescent="0.25">
      <c r="A42" s="42">
        <v>39201</v>
      </c>
      <c r="B42" s="43" t="s">
        <v>124</v>
      </c>
      <c r="C42" s="44">
        <v>15381575.261088327</v>
      </c>
      <c r="D42" s="44">
        <v>8319999.639862583</v>
      </c>
      <c r="E42" s="44">
        <v>0</v>
      </c>
      <c r="F42" s="44">
        <v>0</v>
      </c>
      <c r="G42" s="48">
        <v>23701574.900950909</v>
      </c>
      <c r="H42" s="44">
        <v>6058634.4224653952</v>
      </c>
      <c r="I42" s="44">
        <v>1927590.0079181129</v>
      </c>
      <c r="J42" s="44">
        <v>0</v>
      </c>
      <c r="K42" s="44">
        <v>121994.54000000001</v>
      </c>
      <c r="L42" s="44">
        <v>0</v>
      </c>
      <c r="M42" s="44">
        <v>0</v>
      </c>
      <c r="N42" s="46">
        <v>8108218.9703835081</v>
      </c>
      <c r="O42" s="49">
        <v>0.10100000000000001</v>
      </c>
      <c r="P42" s="97"/>
    </row>
    <row r="43" spans="1:16" ht="15" x14ac:dyDescent="0.25">
      <c r="A43" s="42">
        <v>39202</v>
      </c>
      <c r="B43" s="43" t="s">
        <v>125</v>
      </c>
      <c r="C43" s="44">
        <v>17803654.690000001</v>
      </c>
      <c r="D43" s="44">
        <v>0</v>
      </c>
      <c r="E43" s="44">
        <v>0</v>
      </c>
      <c r="F43" s="44">
        <v>0</v>
      </c>
      <c r="G43" s="48">
        <v>17803654.690000001</v>
      </c>
      <c r="H43" s="44">
        <v>8353208.6126399953</v>
      </c>
      <c r="I43" s="44">
        <v>1264059.4829900004</v>
      </c>
      <c r="J43" s="44">
        <v>0</v>
      </c>
      <c r="K43" s="44">
        <v>0</v>
      </c>
      <c r="L43" s="44">
        <v>0</v>
      </c>
      <c r="M43" s="44">
        <v>0</v>
      </c>
      <c r="N43" s="46">
        <v>9617268.0956299957</v>
      </c>
      <c r="O43" s="49">
        <v>7.0999999999999994E-2</v>
      </c>
      <c r="P43" s="97"/>
    </row>
    <row r="44" spans="1:16" ht="15" x14ac:dyDescent="0.25">
      <c r="A44" s="42">
        <v>39203</v>
      </c>
      <c r="B44" s="43" t="s">
        <v>126</v>
      </c>
      <c r="C44" s="44">
        <v>0</v>
      </c>
      <c r="D44" s="44">
        <v>0</v>
      </c>
      <c r="E44" s="44">
        <v>0</v>
      </c>
      <c r="F44" s="44">
        <v>0</v>
      </c>
      <c r="G44" s="48">
        <v>0</v>
      </c>
      <c r="H44" s="44">
        <v>3.7252922968633584E-11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6">
        <v>3.7252922968633584E-11</v>
      </c>
      <c r="O44" s="49">
        <v>0</v>
      </c>
      <c r="P44" s="97"/>
    </row>
    <row r="45" spans="1:16" ht="15" x14ac:dyDescent="0.25">
      <c r="A45" s="42">
        <v>39204</v>
      </c>
      <c r="B45" s="43" t="s">
        <v>127</v>
      </c>
      <c r="C45" s="44">
        <v>4611626.0715047615</v>
      </c>
      <c r="D45" s="44">
        <v>69941.248751477717</v>
      </c>
      <c r="E45" s="44">
        <v>0</v>
      </c>
      <c r="F45" s="44">
        <v>0</v>
      </c>
      <c r="G45" s="48">
        <v>4681567.3202562388</v>
      </c>
      <c r="H45" s="44">
        <v>821141.15773737081</v>
      </c>
      <c r="I45" s="44">
        <v>111452.78175812135</v>
      </c>
      <c r="J45" s="44">
        <v>0</v>
      </c>
      <c r="K45" s="44">
        <v>0</v>
      </c>
      <c r="L45" s="44">
        <v>0</v>
      </c>
      <c r="M45" s="44">
        <v>0</v>
      </c>
      <c r="N45" s="46">
        <v>932593.93949549214</v>
      </c>
      <c r="O45" s="49">
        <v>2.4E-2</v>
      </c>
      <c r="P45" s="97"/>
    </row>
    <row r="46" spans="1:16" ht="13.5" customHeight="1" x14ac:dyDescent="0.25">
      <c r="A46" s="42">
        <v>39205</v>
      </c>
      <c r="B46" s="43" t="s">
        <v>128</v>
      </c>
      <c r="C46" s="44">
        <v>2564139.23</v>
      </c>
      <c r="D46" s="44">
        <v>0</v>
      </c>
      <c r="E46" s="44">
        <v>0</v>
      </c>
      <c r="F46" s="44">
        <v>0</v>
      </c>
      <c r="G46" s="48">
        <v>2564139.23</v>
      </c>
      <c r="H46" s="44">
        <v>1267332.2891799987</v>
      </c>
      <c r="I46" s="44">
        <v>141027.65764999998</v>
      </c>
      <c r="J46" s="44">
        <v>0</v>
      </c>
      <c r="K46" s="44">
        <v>0</v>
      </c>
      <c r="L46" s="44">
        <v>0</v>
      </c>
      <c r="M46" s="44">
        <v>0</v>
      </c>
      <c r="N46" s="46">
        <v>1408359.9468299986</v>
      </c>
      <c r="O46" s="49">
        <v>5.5E-2</v>
      </c>
      <c r="P46" s="97"/>
    </row>
    <row r="47" spans="1:16" ht="15" x14ac:dyDescent="0.25">
      <c r="A47" s="42">
        <v>39300</v>
      </c>
      <c r="B47" s="43" t="s">
        <v>129</v>
      </c>
      <c r="C47" s="44">
        <v>1283.3900000000001</v>
      </c>
      <c r="D47" s="44">
        <v>0</v>
      </c>
      <c r="E47" s="44">
        <v>0</v>
      </c>
      <c r="F47" s="44">
        <v>0</v>
      </c>
      <c r="G47" s="48">
        <v>1283.3900000000001</v>
      </c>
      <c r="H47" s="44">
        <v>591.86238000006733</v>
      </c>
      <c r="I47" s="44">
        <v>55.185769999999984</v>
      </c>
      <c r="J47" s="44">
        <v>0</v>
      </c>
      <c r="K47" s="44">
        <v>0</v>
      </c>
      <c r="L47" s="44">
        <v>0</v>
      </c>
      <c r="M47" s="44">
        <v>0</v>
      </c>
      <c r="N47" s="46">
        <v>647.04815000006727</v>
      </c>
      <c r="O47" s="49">
        <v>4.2999999999999997E-2</v>
      </c>
      <c r="P47" s="97"/>
    </row>
    <row r="48" spans="1:16" ht="15" x14ac:dyDescent="0.25">
      <c r="A48" s="42">
        <v>39400</v>
      </c>
      <c r="B48" s="43" t="s">
        <v>130</v>
      </c>
      <c r="C48" s="44">
        <v>8587697.3591999989</v>
      </c>
      <c r="D48" s="44">
        <v>823262</v>
      </c>
      <c r="E48" s="44">
        <v>-65860.959999999992</v>
      </c>
      <c r="F48" s="44">
        <v>0</v>
      </c>
      <c r="G48" s="48">
        <v>9345098.399199998</v>
      </c>
      <c r="H48" s="44">
        <v>4420844.3778393865</v>
      </c>
      <c r="I48" s="44">
        <v>437347.25951746677</v>
      </c>
      <c r="J48" s="44">
        <v>-65860.959999999992</v>
      </c>
      <c r="K48" s="44">
        <v>0</v>
      </c>
      <c r="L48" s="44">
        <v>0</v>
      </c>
      <c r="M48" s="44">
        <v>0</v>
      </c>
      <c r="N48" s="46">
        <v>4792330.6773568531</v>
      </c>
      <c r="O48" s="49">
        <v>4.9000000000000002E-2</v>
      </c>
      <c r="P48" s="97"/>
    </row>
    <row r="49" spans="1:17" ht="15" x14ac:dyDescent="0.25">
      <c r="A49" s="42">
        <v>39401</v>
      </c>
      <c r="B49" s="43" t="s">
        <v>90</v>
      </c>
      <c r="C49" s="44">
        <v>714791.37</v>
      </c>
      <c r="D49" s="44">
        <v>0</v>
      </c>
      <c r="E49" s="44">
        <v>0</v>
      </c>
      <c r="F49" s="44">
        <v>0</v>
      </c>
      <c r="G49" s="48">
        <v>714791.37</v>
      </c>
      <c r="H49" s="44">
        <v>11536.021499999999</v>
      </c>
      <c r="I49" s="44">
        <v>36454.35987</v>
      </c>
      <c r="J49" s="44">
        <v>0</v>
      </c>
      <c r="K49" s="44">
        <v>0</v>
      </c>
      <c r="L49" s="44">
        <v>0</v>
      </c>
      <c r="M49" s="44">
        <v>0</v>
      </c>
      <c r="N49" s="46">
        <v>47990.381370000003</v>
      </c>
      <c r="O49" s="49">
        <v>5.0999999999999997E-2</v>
      </c>
      <c r="P49" s="97"/>
    </row>
    <row r="50" spans="1:17" ht="15" x14ac:dyDescent="0.25">
      <c r="A50" s="42">
        <v>39500</v>
      </c>
      <c r="B50" s="43" t="s">
        <v>131</v>
      </c>
      <c r="C50" s="44">
        <v>0</v>
      </c>
      <c r="D50" s="44">
        <v>0</v>
      </c>
      <c r="E50" s="44">
        <v>0</v>
      </c>
      <c r="F50" s="44">
        <v>0</v>
      </c>
      <c r="G50" s="48">
        <v>0</v>
      </c>
      <c r="H50" s="44">
        <v>1.4915713109076023E-10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6">
        <v>1.4915713109076023E-10</v>
      </c>
      <c r="O50" s="49">
        <v>0.05</v>
      </c>
      <c r="P50" s="97"/>
    </row>
    <row r="51" spans="1:17" ht="15" x14ac:dyDescent="0.25">
      <c r="A51" s="42">
        <v>39600</v>
      </c>
      <c r="B51" s="43" t="s">
        <v>132</v>
      </c>
      <c r="C51" s="44">
        <v>3562012.9888811684</v>
      </c>
      <c r="D51" s="44">
        <v>1044256.1074807071</v>
      </c>
      <c r="E51" s="44">
        <v>-83540.488598456577</v>
      </c>
      <c r="F51" s="44">
        <v>0</v>
      </c>
      <c r="G51" s="48">
        <v>4522728.6077634189</v>
      </c>
      <c r="H51" s="44">
        <v>2121059.1343065533</v>
      </c>
      <c r="I51" s="44">
        <v>152279.15547219134</v>
      </c>
      <c r="J51" s="44">
        <v>-83540.488598456577</v>
      </c>
      <c r="K51" s="44">
        <v>-16666.66</v>
      </c>
      <c r="L51" s="44">
        <v>-8333.33</v>
      </c>
      <c r="M51" s="44">
        <v>0</v>
      </c>
      <c r="N51" s="46">
        <v>2164797.811180288</v>
      </c>
      <c r="O51" s="49">
        <v>3.6999999999999998E-2</v>
      </c>
      <c r="P51" s="97"/>
    </row>
    <row r="52" spans="1:17" ht="15" x14ac:dyDescent="0.25">
      <c r="A52" s="42">
        <v>39700</v>
      </c>
      <c r="B52" s="43" t="s">
        <v>133</v>
      </c>
      <c r="C52" s="44">
        <v>3015264.3708000011</v>
      </c>
      <c r="D52" s="44">
        <v>12000</v>
      </c>
      <c r="E52" s="44">
        <v>-960</v>
      </c>
      <c r="F52" s="44">
        <v>0</v>
      </c>
      <c r="G52" s="48">
        <v>3026304.3708000011</v>
      </c>
      <c r="H52" s="44">
        <v>2936319.9008156699</v>
      </c>
      <c r="I52" s="44">
        <v>77391.785517200027</v>
      </c>
      <c r="J52" s="44">
        <v>-960</v>
      </c>
      <c r="K52" s="44">
        <v>0</v>
      </c>
      <c r="L52" s="44">
        <v>0</v>
      </c>
      <c r="M52" s="44">
        <v>0</v>
      </c>
      <c r="N52" s="46">
        <v>3012751.6863328698</v>
      </c>
      <c r="O52" s="49">
        <v>7.6999999999999999E-2</v>
      </c>
      <c r="P52" s="97"/>
    </row>
    <row r="53" spans="1:17" ht="15" x14ac:dyDescent="0.25">
      <c r="A53" s="42">
        <v>39800</v>
      </c>
      <c r="B53" s="16" t="s">
        <v>134</v>
      </c>
      <c r="C53" s="44">
        <v>749276.97097417188</v>
      </c>
      <c r="D53" s="44">
        <v>189309.81917879707</v>
      </c>
      <c r="E53" s="44">
        <v>-15144.785534303768</v>
      </c>
      <c r="F53" s="44">
        <v>0</v>
      </c>
      <c r="G53" s="48">
        <v>923442.0046186652</v>
      </c>
      <c r="H53" s="44">
        <v>211978.84817832071</v>
      </c>
      <c r="I53" s="44">
        <v>37630.989812791435</v>
      </c>
      <c r="J53" s="44">
        <v>-15144.785534303768</v>
      </c>
      <c r="K53" s="44">
        <v>0</v>
      </c>
      <c r="L53" s="44">
        <v>0</v>
      </c>
      <c r="M53" s="44">
        <v>0</v>
      </c>
      <c r="N53" s="46">
        <v>234465.05245680836</v>
      </c>
      <c r="O53" s="49">
        <v>4.4999999999999998E-2</v>
      </c>
      <c r="P53" s="97"/>
    </row>
    <row r="54" spans="1:17" ht="15" x14ac:dyDescent="0.25">
      <c r="A54" s="42">
        <v>39900</v>
      </c>
      <c r="B54" s="16" t="s">
        <v>135</v>
      </c>
      <c r="C54" s="44">
        <v>0</v>
      </c>
      <c r="D54" s="44">
        <v>0</v>
      </c>
      <c r="E54" s="44">
        <v>0</v>
      </c>
      <c r="F54" s="44">
        <v>0</v>
      </c>
      <c r="G54" s="48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6">
        <v>0</v>
      </c>
      <c r="O54" s="49">
        <v>7.6999999999999999E-2</v>
      </c>
      <c r="P54" s="97"/>
    </row>
    <row r="55" spans="1:17" ht="15" x14ac:dyDescent="0.25">
      <c r="A55" s="42">
        <v>33601</v>
      </c>
      <c r="B55" s="16" t="s">
        <v>136</v>
      </c>
      <c r="C55" s="44">
        <v>35668591.620000005</v>
      </c>
      <c r="D55" s="44">
        <v>0</v>
      </c>
      <c r="E55" s="44">
        <v>0</v>
      </c>
      <c r="F55" s="44">
        <v>0</v>
      </c>
      <c r="G55" s="48">
        <v>35668591.620000005</v>
      </c>
      <c r="H55" s="44">
        <v>1961772.5391000002</v>
      </c>
      <c r="I55" s="44">
        <v>2389795.6385400007</v>
      </c>
      <c r="J55" s="44">
        <v>0</v>
      </c>
      <c r="K55" s="44">
        <v>0</v>
      </c>
      <c r="L55" s="44">
        <v>0</v>
      </c>
      <c r="M55" s="44">
        <v>0</v>
      </c>
      <c r="N55" s="46">
        <v>4351568.1776400004</v>
      </c>
      <c r="O55" s="49">
        <v>6.7000000000000004E-2</v>
      </c>
      <c r="P55" s="97"/>
    </row>
    <row r="56" spans="1:17" ht="15" x14ac:dyDescent="0.25">
      <c r="B56" s="43"/>
      <c r="C56" s="44"/>
      <c r="D56" s="44"/>
      <c r="E56" s="44"/>
      <c r="F56" s="44"/>
      <c r="G56" s="50"/>
      <c r="H56" s="44"/>
      <c r="I56" s="44"/>
      <c r="J56" s="44"/>
      <c r="K56" s="44"/>
      <c r="L56" s="44"/>
      <c r="M56" s="44"/>
      <c r="N56" s="46"/>
      <c r="O56" s="51">
        <v>0</v>
      </c>
      <c r="P56" s="97"/>
    </row>
    <row r="57" spans="1:17" ht="15.75" thickBot="1" x14ac:dyDescent="0.3">
      <c r="A57" s="52"/>
      <c r="B57" s="53"/>
      <c r="C57" s="54">
        <v>3209654372.1502404</v>
      </c>
      <c r="D57" s="54">
        <v>277115953.09609777</v>
      </c>
      <c r="E57" s="54">
        <v>-19531250.558127612</v>
      </c>
      <c r="F57" s="54">
        <v>0</v>
      </c>
      <c r="G57" s="54">
        <v>3467239074.6882105</v>
      </c>
      <c r="H57" s="54"/>
      <c r="I57" s="54"/>
      <c r="J57" s="54"/>
      <c r="K57" s="54"/>
      <c r="L57" s="54"/>
      <c r="M57" s="54"/>
      <c r="N57" s="54"/>
      <c r="O57" s="55"/>
    </row>
    <row r="58" spans="1:17" s="44" customFormat="1" ht="15.75" thickTop="1" x14ac:dyDescent="0.25">
      <c r="A58" s="56"/>
      <c r="G58" s="46"/>
      <c r="H58" s="44">
        <v>894044433.41173625</v>
      </c>
      <c r="I58" s="44">
        <v>91187078.415149644</v>
      </c>
      <c r="J58" s="44">
        <v>-19531250.558127612</v>
      </c>
      <c r="K58" s="44">
        <v>99821.930000000008</v>
      </c>
      <c r="L58" s="44">
        <v>-13082497.740000004</v>
      </c>
      <c r="M58" s="44">
        <v>0</v>
      </c>
      <c r="N58" s="46">
        <v>952717585.45875788</v>
      </c>
    </row>
    <row r="59" spans="1:17" s="44" customFormat="1" ht="15" x14ac:dyDescent="0.25">
      <c r="A59" s="57"/>
      <c r="B59" s="57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16"/>
    </row>
    <row r="60" spans="1:17" s="44" customFormat="1" ht="15" x14ac:dyDescent="0.25">
      <c r="A60" s="57"/>
      <c r="B60" s="16"/>
      <c r="C60" s="46"/>
      <c r="D60" s="46"/>
      <c r="E60" s="46"/>
      <c r="F60" s="46"/>
      <c r="G60" s="46"/>
      <c r="H60" s="119" t="s">
        <v>137</v>
      </c>
      <c r="I60" s="119"/>
      <c r="J60" s="119"/>
      <c r="K60" s="119"/>
      <c r="L60" s="119"/>
      <c r="M60" s="119"/>
      <c r="N60" s="119"/>
      <c r="O60" s="16"/>
      <c r="Q60" s="58"/>
    </row>
    <row r="61" spans="1:17" s="44" customFormat="1" ht="15" x14ac:dyDescent="0.25">
      <c r="A61" s="57"/>
      <c r="B61" s="16"/>
      <c r="C61" s="46"/>
      <c r="D61" s="46"/>
      <c r="E61" s="46"/>
      <c r="F61" s="46"/>
      <c r="G61" s="46"/>
      <c r="H61" s="119"/>
      <c r="I61" s="119"/>
      <c r="J61" s="119"/>
      <c r="K61" s="119"/>
      <c r="L61" s="119"/>
      <c r="M61" s="119"/>
      <c r="N61" s="119"/>
      <c r="O61" s="16"/>
      <c r="Q61" s="58"/>
    </row>
    <row r="62" spans="1:17" s="44" customFormat="1" ht="15" x14ac:dyDescent="0.25">
      <c r="A62" s="59"/>
      <c r="B62" s="16"/>
      <c r="C62" s="46"/>
      <c r="D62" s="46"/>
      <c r="E62" s="46"/>
      <c r="F62" s="46"/>
      <c r="G62" s="46"/>
      <c r="H62" s="43" t="s">
        <v>138</v>
      </c>
      <c r="I62" s="16"/>
      <c r="J62" s="16"/>
      <c r="K62" s="16"/>
      <c r="L62" s="16"/>
      <c r="M62" s="16"/>
      <c r="N62" s="38"/>
      <c r="O62" s="16"/>
      <c r="Q62" s="58"/>
    </row>
    <row r="63" spans="1:17" s="44" customFormat="1" ht="15" x14ac:dyDescent="0.25">
      <c r="A63" s="58"/>
      <c r="B63" s="16"/>
      <c r="G63" s="46"/>
      <c r="N63" s="46"/>
      <c r="O63" s="16"/>
      <c r="Q63" s="58"/>
    </row>
    <row r="64" spans="1:17" s="44" customFormat="1" ht="15" x14ac:dyDescent="0.25">
      <c r="A64" s="56"/>
      <c r="G64" s="46"/>
      <c r="K64" s="56"/>
      <c r="L64" s="56"/>
      <c r="N64" s="46"/>
      <c r="Q64" s="58"/>
    </row>
    <row r="65" spans="1:18" ht="15" x14ac:dyDescent="0.25">
      <c r="B65" s="60"/>
      <c r="C65" s="44"/>
      <c r="D65" s="44"/>
      <c r="E65" s="44"/>
      <c r="F65" s="44"/>
      <c r="G65" s="46"/>
      <c r="H65" s="44"/>
      <c r="I65" s="44"/>
      <c r="J65" s="44"/>
      <c r="K65" s="44"/>
      <c r="L65" s="44"/>
      <c r="M65" s="44"/>
      <c r="N65" s="46"/>
      <c r="Q65" s="58"/>
    </row>
    <row r="66" spans="1:18" ht="15" x14ac:dyDescent="0.25">
      <c r="A66" s="56"/>
      <c r="B66" s="44"/>
      <c r="C66" s="44"/>
      <c r="D66" s="44"/>
      <c r="E66" s="44"/>
      <c r="F66" s="44"/>
      <c r="G66" s="46"/>
      <c r="H66" s="44"/>
      <c r="I66" s="44"/>
      <c r="J66" s="44"/>
      <c r="K66" s="44"/>
      <c r="L66" s="44"/>
      <c r="M66" s="44"/>
      <c r="N66" s="46"/>
      <c r="O66" s="44"/>
      <c r="Q66" s="58"/>
    </row>
    <row r="67" spans="1:18" ht="15" x14ac:dyDescent="0.25">
      <c r="A67" s="42"/>
      <c r="B67" s="42"/>
      <c r="C67" s="42"/>
      <c r="D67" s="42"/>
      <c r="E67" s="42"/>
      <c r="F67" s="42"/>
      <c r="G67" s="37"/>
      <c r="H67" s="42"/>
      <c r="I67" s="42"/>
      <c r="J67" s="42"/>
      <c r="K67" s="42"/>
      <c r="L67" s="42"/>
      <c r="M67" s="42"/>
      <c r="N67" s="37"/>
      <c r="O67" s="42"/>
      <c r="Q67" s="58"/>
    </row>
    <row r="68" spans="1:18" ht="15" x14ac:dyDescent="0.25">
      <c r="B68" s="61"/>
      <c r="G68" s="46"/>
      <c r="I68" s="44"/>
      <c r="N68" s="46"/>
      <c r="Q68" s="62"/>
      <c r="R68" s="38"/>
    </row>
    <row r="69" spans="1:18" ht="15" x14ac:dyDescent="0.25">
      <c r="B69" s="61"/>
      <c r="G69" s="46"/>
      <c r="I69" s="44"/>
      <c r="N69" s="46"/>
      <c r="Q69" s="62"/>
      <c r="R69" s="38"/>
    </row>
    <row r="70" spans="1:18" ht="15" x14ac:dyDescent="0.25">
      <c r="B70" s="61"/>
      <c r="G70" s="46"/>
      <c r="H70" s="24"/>
      <c r="I70" s="58"/>
      <c r="J70" s="24"/>
      <c r="K70" s="24"/>
      <c r="L70" s="24"/>
      <c r="M70" s="24"/>
      <c r="N70" s="46"/>
      <c r="O70" s="24"/>
      <c r="P70" s="24"/>
      <c r="Q70" s="62"/>
      <c r="R70" s="38"/>
    </row>
    <row r="71" spans="1:18" ht="15" x14ac:dyDescent="0.25">
      <c r="B71" s="61"/>
      <c r="G71" s="46"/>
      <c r="I71" s="58"/>
      <c r="N71" s="46"/>
      <c r="Q71" s="62"/>
      <c r="R71" s="38"/>
    </row>
    <row r="72" spans="1:18" ht="15" x14ac:dyDescent="0.25">
      <c r="B72" s="63"/>
      <c r="G72" s="46"/>
      <c r="H72" s="24"/>
      <c r="I72" s="58"/>
      <c r="J72" s="24"/>
      <c r="K72" s="24"/>
      <c r="L72" s="24"/>
      <c r="M72" s="24"/>
      <c r="N72" s="46"/>
      <c r="O72" s="24"/>
      <c r="P72" s="24"/>
      <c r="Q72" s="62"/>
      <c r="R72" s="38"/>
    </row>
    <row r="73" spans="1:18" ht="15" x14ac:dyDescent="0.25">
      <c r="B73" s="61"/>
      <c r="D73" s="64"/>
      <c r="G73" s="46"/>
      <c r="I73" s="58"/>
      <c r="N73" s="46"/>
      <c r="Q73" s="62"/>
      <c r="R73" s="38"/>
    </row>
    <row r="74" spans="1:18" x14ac:dyDescent="0.2">
      <c r="B74" s="61"/>
      <c r="G74" s="46"/>
      <c r="N74" s="46"/>
      <c r="Q74" s="62"/>
      <c r="R74" s="38"/>
    </row>
    <row r="75" spans="1:18" x14ac:dyDescent="0.2">
      <c r="B75" s="61"/>
      <c r="G75" s="46"/>
      <c r="I75" s="64"/>
      <c r="N75" s="46"/>
      <c r="Q75" s="62"/>
      <c r="R75" s="38"/>
    </row>
    <row r="76" spans="1:18" ht="15" x14ac:dyDescent="0.25">
      <c r="Q76" s="58"/>
    </row>
    <row r="77" spans="1:18" ht="15" x14ac:dyDescent="0.25">
      <c r="Q77" s="58"/>
    </row>
    <row r="78" spans="1:18" ht="15" x14ac:dyDescent="0.25">
      <c r="O78" s="44"/>
    </row>
    <row r="80" spans="1:18" ht="15" x14ac:dyDescent="0.25">
      <c r="O80" s="44"/>
    </row>
    <row r="84" spans="15:15" ht="15" x14ac:dyDescent="0.25">
      <c r="O84" s="44"/>
    </row>
    <row r="88" spans="15:15" ht="15" x14ac:dyDescent="0.25">
      <c r="O88" s="44"/>
    </row>
  </sheetData>
  <autoFilter ref="A7:O47" xr:uid="{00000000-0009-0000-0000-00002D000000}"/>
  <mergeCells count="1">
    <mergeCell ref="H60:N61"/>
  </mergeCells>
  <pageMargins left="0.7" right="0.7" top="0.75" bottom="0.75" header="0.3" footer="0.3"/>
  <pageSetup scale="55" fitToWidth="2" orientation="landscape" r:id="rId1"/>
  <headerFooter alignWithMargins="0"/>
  <colBreaks count="1" manualBreakCount="1">
    <brk id="7" max="1048575" man="1"/>
  </colBreaks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C7DA4-C166-4C7C-A29E-E55F8C505B3A}">
  <sheetPr>
    <pageSetUpPr fitToPage="1"/>
  </sheetPr>
  <dimension ref="A1:I41"/>
  <sheetViews>
    <sheetView workbookViewId="0">
      <selection activeCell="K21" sqref="K21"/>
    </sheetView>
  </sheetViews>
  <sheetFormatPr defaultRowHeight="15" x14ac:dyDescent="0.25"/>
  <cols>
    <col min="2" max="2" width="36.28515625" customWidth="1"/>
    <col min="3" max="7" width="14.140625" customWidth="1"/>
    <col min="8" max="8" width="14.85546875" customWidth="1"/>
    <col min="9" max="9" width="15.140625" customWidth="1"/>
  </cols>
  <sheetData>
    <row r="1" spans="1:9" x14ac:dyDescent="0.25">
      <c r="A1" s="6" t="s">
        <v>184</v>
      </c>
    </row>
    <row r="2" spans="1:9" x14ac:dyDescent="0.25">
      <c r="A2" s="6" t="s">
        <v>183</v>
      </c>
    </row>
    <row r="3" spans="1:9" x14ac:dyDescent="0.25">
      <c r="A3" s="6" t="s">
        <v>228</v>
      </c>
    </row>
    <row r="5" spans="1:9" x14ac:dyDescent="0.25">
      <c r="A5" s="11"/>
      <c r="B5" s="11"/>
      <c r="C5" s="2" t="s">
        <v>34</v>
      </c>
      <c r="D5" s="2">
        <v>2024</v>
      </c>
      <c r="E5" s="2">
        <v>2024</v>
      </c>
      <c r="F5" s="2" t="s">
        <v>40</v>
      </c>
      <c r="G5" s="2" t="s">
        <v>40</v>
      </c>
      <c r="H5" s="2" t="s">
        <v>61</v>
      </c>
      <c r="I5" s="2" t="s">
        <v>40</v>
      </c>
    </row>
    <row r="6" spans="1:9" x14ac:dyDescent="0.25">
      <c r="A6" s="3" t="s">
        <v>0</v>
      </c>
      <c r="B6" s="13"/>
      <c r="C6" s="3" t="s">
        <v>71</v>
      </c>
      <c r="D6" s="3" t="s">
        <v>33</v>
      </c>
      <c r="E6" s="3" t="s">
        <v>39</v>
      </c>
      <c r="F6" s="3"/>
      <c r="G6" s="3"/>
      <c r="H6" s="3" t="s">
        <v>62</v>
      </c>
      <c r="I6" s="3" t="s">
        <v>210</v>
      </c>
    </row>
    <row r="7" spans="1:9" x14ac:dyDescent="0.25">
      <c r="A7" s="3" t="s">
        <v>48</v>
      </c>
      <c r="B7" s="3" t="s">
        <v>1</v>
      </c>
      <c r="C7" s="3" t="s">
        <v>31</v>
      </c>
      <c r="D7" s="3" t="s">
        <v>31</v>
      </c>
      <c r="E7" s="3" t="s">
        <v>31</v>
      </c>
      <c r="F7" s="5" t="s">
        <v>47</v>
      </c>
      <c r="G7" s="5" t="s">
        <v>46</v>
      </c>
      <c r="H7" s="3" t="s">
        <v>211</v>
      </c>
      <c r="I7" s="5" t="s">
        <v>67</v>
      </c>
    </row>
    <row r="8" spans="1:9" x14ac:dyDescent="0.25">
      <c r="A8" s="12"/>
      <c r="B8" s="12"/>
      <c r="C8" s="7" t="s">
        <v>32</v>
      </c>
      <c r="D8" s="7" t="s">
        <v>38</v>
      </c>
      <c r="E8" s="7" t="s">
        <v>41</v>
      </c>
      <c r="F8" s="7" t="s">
        <v>43</v>
      </c>
      <c r="G8" s="7" t="s">
        <v>45</v>
      </c>
      <c r="H8" s="4" t="s">
        <v>64</v>
      </c>
      <c r="I8" s="4" t="s">
        <v>66</v>
      </c>
    </row>
    <row r="9" spans="1:9" x14ac:dyDescent="0.25">
      <c r="A9" s="8">
        <v>33600</v>
      </c>
      <c r="B9" s="8" t="s">
        <v>2</v>
      </c>
      <c r="C9" s="9">
        <f>+'Column 4 Recon'!C9+'Column 4 Recon'!D9</f>
        <v>1063199</v>
      </c>
      <c r="D9" s="98">
        <f>+'Reserve Allocation - Corrected'!N65</f>
        <v>1063199.1202974999</v>
      </c>
      <c r="E9" s="98">
        <f>+'Annual Status 2024 Corrected '!N16</f>
        <v>1063199.1202974999</v>
      </c>
      <c r="F9" s="10">
        <f t="shared" ref="F9:F38" si="0">+C9-D9</f>
        <v>-0.12029749993234873</v>
      </c>
      <c r="G9" s="10">
        <f t="shared" ref="G9:G38" si="1">+C9-E9</f>
        <v>-0.12029749993234873</v>
      </c>
      <c r="H9" s="98"/>
      <c r="I9" s="9">
        <f>+F9+H9</f>
        <v>-0.12029749993234873</v>
      </c>
    </row>
    <row r="10" spans="1:9" x14ac:dyDescent="0.25">
      <c r="A10" s="8">
        <v>33601</v>
      </c>
      <c r="B10" s="8" t="s">
        <v>3</v>
      </c>
      <c r="C10" s="9">
        <f>+'Column 4 Recon'!C10+'Column 4 Recon'!D10</f>
        <v>4351568</v>
      </c>
      <c r="D10" s="98">
        <f>+'Reserve Allocation - Corrected'!N66</f>
        <v>4351568.1776400004</v>
      </c>
      <c r="E10" s="98">
        <f>+'Annual Status 2024 Corrected '!N55</f>
        <v>4351568.1776400004</v>
      </c>
      <c r="F10" s="10">
        <f t="shared" si="0"/>
        <v>-0.17764000035822392</v>
      </c>
      <c r="G10" s="10">
        <f t="shared" si="1"/>
        <v>-0.17764000035822392</v>
      </c>
      <c r="H10" s="98"/>
      <c r="I10" s="9">
        <f t="shared" ref="I10:I38" si="2">+F10+H10</f>
        <v>-0.17764000035822392</v>
      </c>
    </row>
    <row r="11" spans="1:9" x14ac:dyDescent="0.25">
      <c r="A11" s="8">
        <v>36400</v>
      </c>
      <c r="B11" s="8" t="s">
        <v>4</v>
      </c>
      <c r="C11" s="9">
        <f>+'Column 4 Recon'!C11+'Column 4 Recon'!D11</f>
        <v>78084</v>
      </c>
      <c r="D11" s="98">
        <f>+'Reserve Allocation - Corrected'!N67</f>
        <v>78084.02737916667</v>
      </c>
      <c r="E11" s="98">
        <f>+'Annual Status 2024 Corrected '!N17</f>
        <v>78084.02737916667</v>
      </c>
      <c r="F11" s="10">
        <f t="shared" si="0"/>
        <v>-2.7379166669561528E-2</v>
      </c>
      <c r="G11" s="10">
        <f t="shared" si="1"/>
        <v>-2.7379166669561528E-2</v>
      </c>
      <c r="H11" s="98"/>
      <c r="I11" s="9">
        <f t="shared" si="2"/>
        <v>-2.7379166669561528E-2</v>
      </c>
    </row>
    <row r="12" spans="1:9" x14ac:dyDescent="0.25">
      <c r="A12" s="8">
        <v>37400</v>
      </c>
      <c r="B12" s="8" t="s">
        <v>5</v>
      </c>
      <c r="C12" s="9">
        <f>+'Column 4 Recon'!C12+'Column 4 Recon'!D12</f>
        <v>-60225</v>
      </c>
      <c r="D12" s="98">
        <f>+'Reserve Allocation - Corrected'!N75</f>
        <v>-60224.600000000435</v>
      </c>
      <c r="E12" s="98">
        <f>+'Annual Status 2024 Corrected '!N18</f>
        <v>-60224.600000000413</v>
      </c>
      <c r="F12" s="10">
        <f t="shared" si="0"/>
        <v>-0.39999999956489773</v>
      </c>
      <c r="G12" s="10">
        <f t="shared" si="1"/>
        <v>-0.39999999958672561</v>
      </c>
      <c r="H12" s="98"/>
      <c r="I12" s="9">
        <f t="shared" si="2"/>
        <v>-0.39999999956489773</v>
      </c>
    </row>
    <row r="13" spans="1:9" x14ac:dyDescent="0.25">
      <c r="A13" s="8">
        <v>37402</v>
      </c>
      <c r="B13" s="8" t="s">
        <v>6</v>
      </c>
      <c r="C13" s="9">
        <f>+'Column 4 Recon'!C13+'Column 4 Recon'!D13</f>
        <v>1150125</v>
      </c>
      <c r="D13" s="98">
        <f>+'Reserve Allocation - Corrected'!N20</f>
        <v>1135960.7943574523</v>
      </c>
      <c r="E13" s="98">
        <f>+'Annual Status 2024 Corrected '!N19</f>
        <v>1150124.6291599963</v>
      </c>
      <c r="F13" s="10">
        <f t="shared" si="0"/>
        <v>14164.205642547691</v>
      </c>
      <c r="G13" s="10">
        <f t="shared" si="1"/>
        <v>0.37084000371396542</v>
      </c>
      <c r="H13" s="98">
        <f>+'Reserve Allocation - Corrected'!L20</f>
        <v>-14163.834802544057</v>
      </c>
      <c r="I13" s="9">
        <f t="shared" si="2"/>
        <v>0.37084000363392988</v>
      </c>
    </row>
    <row r="14" spans="1:9" x14ac:dyDescent="0.25">
      <c r="A14" s="8">
        <v>37500</v>
      </c>
      <c r="B14" s="8" t="s">
        <v>7</v>
      </c>
      <c r="C14" s="9">
        <f>+'Column 4 Recon'!C14+'Column 4 Recon'!D14</f>
        <v>8870302</v>
      </c>
      <c r="D14" s="98">
        <f>+'Reserve Allocation - Corrected'!N21</f>
        <v>8351998.7268772786</v>
      </c>
      <c r="E14" s="98">
        <f>+'Annual Status 2024 Corrected '!N20</f>
        <v>8870301.6791932359</v>
      </c>
      <c r="F14" s="10">
        <f t="shared" si="0"/>
        <v>518303.27312272135</v>
      </c>
      <c r="G14" s="10">
        <f t="shared" si="1"/>
        <v>0.32080676406621933</v>
      </c>
      <c r="H14" s="98">
        <f>+'Reserve Allocation - Corrected'!L21</f>
        <v>-518302.95231595688</v>
      </c>
      <c r="I14" s="9">
        <f t="shared" si="2"/>
        <v>0.32080676447367296</v>
      </c>
    </row>
    <row r="15" spans="1:9" x14ac:dyDescent="0.25">
      <c r="A15" s="8">
        <v>37600</v>
      </c>
      <c r="B15" s="8" t="s">
        <v>8</v>
      </c>
      <c r="C15" s="9">
        <f>+'Column 4 Recon'!C15+'Column 4 Recon'!D15</f>
        <v>221233588</v>
      </c>
      <c r="D15" s="98">
        <f>+'Reserve Allocation - Corrected'!N22</f>
        <v>253420566.23358262</v>
      </c>
      <c r="E15" s="98">
        <f>+'Annual Status 2024 Corrected '!N21</f>
        <v>221233588.2661801</v>
      </c>
      <c r="F15" s="10">
        <f t="shared" si="0"/>
        <v>-32186978.233582616</v>
      </c>
      <c r="G15" s="10">
        <f t="shared" si="1"/>
        <v>-0.26618009805679321</v>
      </c>
      <c r="H15" s="98">
        <f>+'Reserve Allocation - Corrected'!L22</f>
        <v>32186977.967402533</v>
      </c>
      <c r="I15" s="9">
        <f t="shared" si="2"/>
        <v>-0.26618008315563202</v>
      </c>
    </row>
    <row r="16" spans="1:9" x14ac:dyDescent="0.25">
      <c r="A16" s="8">
        <v>37602</v>
      </c>
      <c r="B16" s="8" t="s">
        <v>9</v>
      </c>
      <c r="C16" s="9">
        <f>+'Column 4 Recon'!C16+'Column 4 Recon'!D16</f>
        <v>213121529</v>
      </c>
      <c r="D16" s="98">
        <f>+'Reserve Allocation - Corrected'!N23</f>
        <v>199345669.13924137</v>
      </c>
      <c r="E16" s="98">
        <f>+'Annual Status 2024 Corrected '!N22</f>
        <v>213121528.94005474</v>
      </c>
      <c r="F16" s="10">
        <f t="shared" si="0"/>
        <v>13775859.860758632</v>
      </c>
      <c r="G16" s="10">
        <f t="shared" si="1"/>
        <v>5.9945255517959595E-2</v>
      </c>
      <c r="H16" s="98">
        <f>+'Reserve Allocation - Corrected'!L23</f>
        <v>-13775859.800813381</v>
      </c>
      <c r="I16" s="9">
        <f t="shared" si="2"/>
        <v>5.9945251792669296E-2</v>
      </c>
    </row>
    <row r="17" spans="1:9" x14ac:dyDescent="0.25">
      <c r="A17" s="8">
        <v>37700</v>
      </c>
      <c r="B17" s="8" t="s">
        <v>10</v>
      </c>
      <c r="C17" s="9">
        <f>+'Column 4 Recon'!C17+'Column 4 Recon'!D17</f>
        <v>1921393</v>
      </c>
      <c r="D17" s="98">
        <f>+'Reserve Allocation - Corrected'!N24</f>
        <v>1872801.879561285</v>
      </c>
      <c r="E17" s="98">
        <f>+'Annual Status 2024 Corrected '!N23</f>
        <v>1921393.2040000004</v>
      </c>
      <c r="F17" s="10">
        <f t="shared" si="0"/>
        <v>48591.120438714977</v>
      </c>
      <c r="G17" s="10">
        <f t="shared" si="1"/>
        <v>-0.20400000037625432</v>
      </c>
      <c r="H17" s="98">
        <f>+'Reserve Allocation - Corrected'!L24</f>
        <v>-48591.324438715463</v>
      </c>
      <c r="I17" s="9">
        <f t="shared" si="2"/>
        <v>-0.20400000048539368</v>
      </c>
    </row>
    <row r="18" spans="1:9" x14ac:dyDescent="0.25">
      <c r="A18" s="8">
        <v>37800</v>
      </c>
      <c r="B18" s="8" t="s">
        <v>11</v>
      </c>
      <c r="C18" s="9">
        <f>+'Column 4 Recon'!C18+'Column 4 Recon'!D18</f>
        <v>6423569</v>
      </c>
      <c r="D18" s="98">
        <f>+'Reserve Allocation - Corrected'!N25</f>
        <v>6391135.4238437377</v>
      </c>
      <c r="E18" s="98">
        <f>+'Annual Status 2024 Corrected '!N24</f>
        <v>6423569.0301257977</v>
      </c>
      <c r="F18" s="10">
        <f t="shared" si="0"/>
        <v>32433.576156262308</v>
      </c>
      <c r="G18" s="10">
        <f t="shared" si="1"/>
        <v>-3.0125797726213932E-2</v>
      </c>
      <c r="H18" s="98">
        <f>+'Reserve Allocation - Corrected'!L25</f>
        <v>-32433.6062820605</v>
      </c>
      <c r="I18" s="9">
        <f t="shared" si="2"/>
        <v>-3.0125798191875219E-2</v>
      </c>
    </row>
    <row r="19" spans="1:9" x14ac:dyDescent="0.25">
      <c r="A19" s="8">
        <v>37900</v>
      </c>
      <c r="B19" s="8" t="s">
        <v>12</v>
      </c>
      <c r="C19" s="9">
        <f>+'Column 4 Recon'!C19+'Column 4 Recon'!D19</f>
        <v>21492591</v>
      </c>
      <c r="D19" s="98">
        <f>+'Reserve Allocation - Corrected'!N26</f>
        <v>20507088.190075457</v>
      </c>
      <c r="E19" s="98">
        <f>+'Annual Status 2024 Corrected '!N25</f>
        <v>21492591.184315529</v>
      </c>
      <c r="F19" s="10">
        <f t="shared" si="0"/>
        <v>985502.8099245429</v>
      </c>
      <c r="G19" s="10">
        <f t="shared" si="1"/>
        <v>-0.18431552872061729</v>
      </c>
      <c r="H19" s="98">
        <f>+'Reserve Allocation - Corrected'!L26</f>
        <v>-985502.99424007267</v>
      </c>
      <c r="I19" s="9">
        <f t="shared" si="2"/>
        <v>-0.18431552976835519</v>
      </c>
    </row>
    <row r="20" spans="1:9" x14ac:dyDescent="0.25">
      <c r="A20" s="8">
        <v>38000</v>
      </c>
      <c r="B20" s="8" t="s">
        <v>13</v>
      </c>
      <c r="C20" s="9">
        <f>+'Column 4 Recon'!C20+'Column 4 Recon'!D20</f>
        <v>45369272</v>
      </c>
      <c r="D20" s="98">
        <f>+'Reserve Allocation - Corrected'!N27</f>
        <v>44096908.587836213</v>
      </c>
      <c r="E20" s="98">
        <f>+'Annual Status 2024 Corrected '!N26</f>
        <v>45369271.820070066</v>
      </c>
      <c r="F20" s="10">
        <f t="shared" si="0"/>
        <v>1272363.4121637866</v>
      </c>
      <c r="G20" s="10">
        <f t="shared" si="1"/>
        <v>0.1799299344420433</v>
      </c>
      <c r="H20" s="98">
        <f>+'Reserve Allocation - Corrected'!L27</f>
        <v>-1272363.2322338512</v>
      </c>
      <c r="I20" s="9">
        <f t="shared" si="2"/>
        <v>0.17992993537336588</v>
      </c>
    </row>
    <row r="21" spans="1:9" x14ac:dyDescent="0.25">
      <c r="A21" s="8">
        <v>38002</v>
      </c>
      <c r="B21" s="8" t="s">
        <v>14</v>
      </c>
      <c r="C21" s="9">
        <f>+'Column 4 Recon'!C21+'Column 4 Recon'!D21</f>
        <v>221130216</v>
      </c>
      <c r="D21" s="98">
        <f>+'Reserve Allocation - Corrected'!N28</f>
        <v>212875097.44754508</v>
      </c>
      <c r="E21" s="98">
        <f>+'Annual Status 2024 Corrected '!N27</f>
        <v>221130215.59483576</v>
      </c>
      <c r="F21" s="10">
        <f t="shared" si="0"/>
        <v>8255118.5524549186</v>
      </c>
      <c r="G21" s="10">
        <f t="shared" si="1"/>
        <v>0.40516424179077148</v>
      </c>
      <c r="H21" s="98">
        <f>+'Reserve Allocation - Corrected'!L28</f>
        <v>-8255118.147290688</v>
      </c>
      <c r="I21" s="9">
        <f t="shared" si="2"/>
        <v>0.40516423061490059</v>
      </c>
    </row>
    <row r="22" spans="1:9" x14ac:dyDescent="0.25">
      <c r="A22" s="8">
        <v>38100</v>
      </c>
      <c r="B22" s="8" t="s">
        <v>15</v>
      </c>
      <c r="C22" s="9">
        <f>+'Column 4 Recon'!C22+'Column 4 Recon'!D22</f>
        <v>45724877</v>
      </c>
      <c r="D22" s="98">
        <f>+'Reserve Allocation - Corrected'!N29</f>
        <v>44575371.70772133</v>
      </c>
      <c r="E22" s="98">
        <f>+'Annual Status 2024 Corrected '!N28</f>
        <v>45724877.058113605</v>
      </c>
      <c r="F22" s="10">
        <f t="shared" si="0"/>
        <v>1149505.2922786698</v>
      </c>
      <c r="G22" s="10">
        <f t="shared" si="1"/>
        <v>-5.8113604784011841E-2</v>
      </c>
      <c r="H22" s="98">
        <f>+'Reserve Allocation - Corrected'!L29</f>
        <v>-1149505.3503922743</v>
      </c>
      <c r="I22" s="9">
        <f t="shared" si="2"/>
        <v>-5.8113604551181197E-2</v>
      </c>
    </row>
    <row r="23" spans="1:9" x14ac:dyDescent="0.25">
      <c r="A23" s="8">
        <v>38200</v>
      </c>
      <c r="B23" s="8" t="s">
        <v>16</v>
      </c>
      <c r="C23" s="9">
        <f>+'Column 4 Recon'!C23+'Column 4 Recon'!D23</f>
        <v>39220335</v>
      </c>
      <c r="D23" s="98">
        <f>+'Reserve Allocation - Corrected'!N30</f>
        <v>36159963.715375185</v>
      </c>
      <c r="E23" s="98">
        <f>+'Annual Status 2024 Corrected '!N29</f>
        <v>39220335.020286247</v>
      </c>
      <c r="F23" s="10">
        <f t="shared" si="0"/>
        <v>3060371.284624815</v>
      </c>
      <c r="G23" s="10">
        <f t="shared" si="1"/>
        <v>-2.0286247134208679E-2</v>
      </c>
      <c r="H23" s="98">
        <f>+'Reserve Allocation - Corrected'!L30</f>
        <v>-3060371.3049110658</v>
      </c>
      <c r="I23" s="9">
        <f t="shared" si="2"/>
        <v>-2.0286250859498978E-2</v>
      </c>
    </row>
    <row r="24" spans="1:9" x14ac:dyDescent="0.25">
      <c r="A24" s="8">
        <v>38300</v>
      </c>
      <c r="B24" s="8" t="s">
        <v>17</v>
      </c>
      <c r="C24" s="9">
        <f>+'Column 4 Recon'!C24+'Column 4 Recon'!D24</f>
        <v>9756397</v>
      </c>
      <c r="D24" s="98">
        <f>+'Reserve Allocation - Corrected'!N31</f>
        <v>9148358.8513258118</v>
      </c>
      <c r="E24" s="98">
        <f>+'Annual Status 2024 Corrected '!N30</f>
        <v>9756397.2436845917</v>
      </c>
      <c r="F24" s="10">
        <f t="shared" si="0"/>
        <v>608038.14867418818</v>
      </c>
      <c r="G24" s="10">
        <f t="shared" si="1"/>
        <v>-0.24368459172546864</v>
      </c>
      <c r="H24" s="98">
        <f>+'Reserve Allocation - Corrected'!L31</f>
        <v>-608038.39235877979</v>
      </c>
      <c r="I24" s="9">
        <f t="shared" si="2"/>
        <v>-0.24368459160905331</v>
      </c>
    </row>
    <row r="25" spans="1:9" x14ac:dyDescent="0.25">
      <c r="A25" s="8">
        <v>38400</v>
      </c>
      <c r="B25" s="8" t="s">
        <v>18</v>
      </c>
      <c r="C25" s="9">
        <f>+'Column 4 Recon'!C25+'Column 4 Recon'!D25</f>
        <v>17117052</v>
      </c>
      <c r="D25" s="98">
        <f>+'Reserve Allocation - Corrected'!N32</f>
        <v>15583971.224694936</v>
      </c>
      <c r="E25" s="98">
        <f>+'Annual Status 2024 Corrected '!N31</f>
        <v>17117052.271989994</v>
      </c>
      <c r="F25" s="10">
        <f t="shared" si="0"/>
        <v>1533080.7753050644</v>
      </c>
      <c r="G25" s="10">
        <f t="shared" si="1"/>
        <v>-0.27198999375104904</v>
      </c>
      <c r="H25" s="98">
        <f>+'Reserve Allocation - Corrected'!L32</f>
        <v>-1533081.0472950581</v>
      </c>
      <c r="I25" s="9">
        <f t="shared" si="2"/>
        <v>-0.27198999375104904</v>
      </c>
    </row>
    <row r="26" spans="1:9" x14ac:dyDescent="0.25">
      <c r="A26" s="8">
        <v>38500</v>
      </c>
      <c r="B26" s="8" t="s">
        <v>19</v>
      </c>
      <c r="C26" s="9">
        <f>+'Column 4 Recon'!C26+'Column 4 Recon'!D26</f>
        <v>7665448</v>
      </c>
      <c r="D26" s="98">
        <f>+'Reserve Allocation - Corrected'!N33</f>
        <v>7287128.9770665802</v>
      </c>
      <c r="E26" s="98">
        <f>+'Annual Status 2024 Corrected '!N32</f>
        <v>7665448.2188000074</v>
      </c>
      <c r="F26" s="10">
        <f t="shared" si="0"/>
        <v>378319.02293341979</v>
      </c>
      <c r="G26" s="10">
        <f t="shared" si="1"/>
        <v>-0.21880000736564398</v>
      </c>
      <c r="H26" s="98">
        <f>+'Reserve Allocation - Corrected'!L33</f>
        <v>-378319.24173342763</v>
      </c>
      <c r="I26" s="9">
        <f t="shared" si="2"/>
        <v>-0.21880000783130527</v>
      </c>
    </row>
    <row r="27" spans="1:9" x14ac:dyDescent="0.25">
      <c r="A27" s="8">
        <v>38700</v>
      </c>
      <c r="B27" s="8" t="s">
        <v>20</v>
      </c>
      <c r="C27" s="9">
        <f>+'Column 4 Recon'!C27+'Column 4 Recon'!D27</f>
        <v>6236109</v>
      </c>
      <c r="D27" s="98">
        <f>+'Reserve Allocation - Corrected'!N34</f>
        <v>5680782.6135053532</v>
      </c>
      <c r="E27" s="98">
        <f>+'Annual Status 2024 Corrected '!N35</f>
        <v>6236109.3518000003</v>
      </c>
      <c r="F27" s="10">
        <f t="shared" si="0"/>
        <v>555326.38649464678</v>
      </c>
      <c r="G27" s="10">
        <f t="shared" si="1"/>
        <v>-0.35180000029504299</v>
      </c>
      <c r="H27" s="98">
        <f>+'Reserve Allocation - Corrected'!L34</f>
        <v>-555326.73829464708</v>
      </c>
      <c r="I27" s="9">
        <f t="shared" si="2"/>
        <v>-0.35180000029504299</v>
      </c>
    </row>
    <row r="28" spans="1:9" x14ac:dyDescent="0.25">
      <c r="A28" s="96" t="s">
        <v>208</v>
      </c>
      <c r="B28" s="8" t="s">
        <v>206</v>
      </c>
      <c r="C28" s="9">
        <f>+'Column 4 Recon'!C28+'Column 4 Recon'!D28+'Column 4 Recon'!D29</f>
        <v>45568</v>
      </c>
      <c r="D28" s="98">
        <f>+'Reserve Allocation - Corrected'!N45</f>
        <v>45567.602230799923</v>
      </c>
      <c r="E28" s="98">
        <f>+'Annual Status 2024 Corrected '!N36+'Annual Status 2024 Corrected '!N37</f>
        <v>45567.602230799923</v>
      </c>
      <c r="F28" s="10">
        <f t="shared" si="0"/>
        <v>0.39776920007716399</v>
      </c>
      <c r="G28" s="10">
        <f t="shared" si="1"/>
        <v>0.39776920007716399</v>
      </c>
      <c r="H28" s="98"/>
      <c r="I28" s="9">
        <f t="shared" si="2"/>
        <v>0.39776920007716399</v>
      </c>
    </row>
    <row r="29" spans="1:9" x14ac:dyDescent="0.25">
      <c r="A29" s="95">
        <v>39100</v>
      </c>
      <c r="B29" s="8" t="s">
        <v>201</v>
      </c>
      <c r="C29" s="94">
        <f>+'Account Corrections'!O19</f>
        <v>1224836.9394966268</v>
      </c>
      <c r="D29" s="98">
        <f>+'Reserve Allocation - Corrected'!N46</f>
        <v>1224836.9394966271</v>
      </c>
      <c r="E29" s="98">
        <f>+'Annual Status 2024 Corrected '!N38</f>
        <v>1224836.9394966271</v>
      </c>
      <c r="F29" s="10">
        <f t="shared" ref="F29" si="3">+C29-D29</f>
        <v>0</v>
      </c>
      <c r="G29" s="10">
        <f t="shared" ref="G29" si="4">+C29-E29</f>
        <v>0</v>
      </c>
      <c r="H29" s="98"/>
      <c r="I29" s="9">
        <f t="shared" si="2"/>
        <v>0</v>
      </c>
    </row>
    <row r="30" spans="1:9" x14ac:dyDescent="0.25">
      <c r="A30" s="95">
        <v>39101</v>
      </c>
      <c r="B30" s="8" t="s">
        <v>202</v>
      </c>
      <c r="C30" s="94">
        <f>+'Account Corrections'!O39</f>
        <v>3924148.9696351453</v>
      </c>
      <c r="D30" s="98">
        <f>+'Reserve Allocation - Corrected'!N47</f>
        <v>3924148.9696351429</v>
      </c>
      <c r="E30" s="98">
        <f>+'Annual Status 2024 Corrected '!N39</f>
        <v>3924148.9696351429</v>
      </c>
      <c r="F30" s="10">
        <f t="shared" si="0"/>
        <v>0</v>
      </c>
      <c r="G30" s="10">
        <f t="shared" si="1"/>
        <v>0</v>
      </c>
      <c r="H30" s="98"/>
      <c r="I30" s="9">
        <f t="shared" si="2"/>
        <v>0</v>
      </c>
    </row>
    <row r="31" spans="1:9" x14ac:dyDescent="0.25">
      <c r="A31" s="95">
        <v>39102</v>
      </c>
      <c r="B31" s="8" t="s">
        <v>203</v>
      </c>
      <c r="C31" s="94">
        <f>+'Account Corrections'!O60</f>
        <v>1058589.1951199987</v>
      </c>
      <c r="D31" s="98">
        <f>+'Reserve Allocation - Corrected'!N48</f>
        <v>1058589.1951199991</v>
      </c>
      <c r="E31" s="98">
        <f>+'Annual Status 2024 Corrected '!N40</f>
        <v>1058589.1951199991</v>
      </c>
      <c r="F31" s="10">
        <f t="shared" si="0"/>
        <v>0</v>
      </c>
      <c r="G31" s="10">
        <f t="shared" si="1"/>
        <v>0</v>
      </c>
      <c r="H31" s="98"/>
      <c r="I31" s="9">
        <f t="shared" si="2"/>
        <v>0</v>
      </c>
    </row>
    <row r="32" spans="1:9" x14ac:dyDescent="0.25">
      <c r="A32" s="8">
        <v>39201</v>
      </c>
      <c r="B32" s="8" t="s">
        <v>24</v>
      </c>
      <c r="C32" s="9">
        <f>+'Column 4 Recon'!C32+'Column 4 Recon'!D32</f>
        <v>8108219</v>
      </c>
      <c r="D32" s="98">
        <f>+'Reserve Allocation - Corrected'!N49</f>
        <v>8108218.9703835081</v>
      </c>
      <c r="E32" s="98">
        <f>+'Annual Status 2024 Corrected '!N42</f>
        <v>8108218.9703835081</v>
      </c>
      <c r="F32" s="10">
        <f t="shared" si="0"/>
        <v>2.9616491869091988E-2</v>
      </c>
      <c r="G32" s="10">
        <f t="shared" si="1"/>
        <v>2.9616491869091988E-2</v>
      </c>
      <c r="H32" s="98"/>
      <c r="I32" s="9">
        <f t="shared" si="2"/>
        <v>2.9616491869091988E-2</v>
      </c>
    </row>
    <row r="33" spans="1:9" x14ac:dyDescent="0.25">
      <c r="A33" s="8">
        <v>39202</v>
      </c>
      <c r="B33" s="8" t="s">
        <v>25</v>
      </c>
      <c r="C33" s="9">
        <f>+'Column 4 Recon'!C33+'Column 4 Recon'!D33</f>
        <v>9617268</v>
      </c>
      <c r="D33" s="98">
        <f>+'Reserve Allocation - Corrected'!N50</f>
        <v>9617268.0956299957</v>
      </c>
      <c r="E33" s="98">
        <f>+'Annual Status 2024 Corrected '!N43</f>
        <v>9617268.0956299957</v>
      </c>
      <c r="F33" s="10">
        <f t="shared" si="0"/>
        <v>-9.5629995688796043E-2</v>
      </c>
      <c r="G33" s="10">
        <f t="shared" si="1"/>
        <v>-9.5629995688796043E-2</v>
      </c>
      <c r="H33" s="98"/>
      <c r="I33" s="9">
        <f t="shared" si="2"/>
        <v>-9.5629995688796043E-2</v>
      </c>
    </row>
    <row r="34" spans="1:9" x14ac:dyDescent="0.25">
      <c r="A34" s="95">
        <v>39205</v>
      </c>
      <c r="B34" s="8" t="s">
        <v>204</v>
      </c>
      <c r="C34" s="94">
        <f>+'Account Corrections'!O80</f>
        <v>1408359.9468299979</v>
      </c>
      <c r="D34" s="98">
        <f>+'Reserve Allocation - Corrected'!N52</f>
        <v>1408359.9468299986</v>
      </c>
      <c r="E34" s="98">
        <f>+'Annual Status 2024 Corrected '!N46</f>
        <v>1408359.9468299986</v>
      </c>
      <c r="F34" s="10">
        <f t="shared" si="0"/>
        <v>0</v>
      </c>
      <c r="G34" s="10">
        <f t="shared" si="1"/>
        <v>0</v>
      </c>
      <c r="H34" s="98"/>
      <c r="I34" s="9">
        <f t="shared" si="2"/>
        <v>0</v>
      </c>
    </row>
    <row r="35" spans="1:9" x14ac:dyDescent="0.25">
      <c r="A35" s="8">
        <v>39400</v>
      </c>
      <c r="B35" s="8" t="s">
        <v>30</v>
      </c>
      <c r="C35" s="9">
        <f>+'Column 4 Recon'!C35+'Column 4 Recon'!D35</f>
        <v>4792331</v>
      </c>
      <c r="D35" s="98">
        <f>+'Reserve Allocation - Corrected'!N54</f>
        <v>4792330.6773568531</v>
      </c>
      <c r="E35" s="98">
        <f>+'Annual Status 2024 Corrected '!N48</f>
        <v>4792330.6773568531</v>
      </c>
      <c r="F35" s="10">
        <f t="shared" si="0"/>
        <v>0.3226431468501687</v>
      </c>
      <c r="G35" s="10">
        <f t="shared" si="1"/>
        <v>0.3226431468501687</v>
      </c>
      <c r="H35" s="98"/>
      <c r="I35" s="9">
        <f t="shared" si="2"/>
        <v>0.3226431468501687</v>
      </c>
    </row>
    <row r="36" spans="1:9" x14ac:dyDescent="0.25">
      <c r="A36" s="8">
        <v>39401</v>
      </c>
      <c r="B36" s="8" t="s">
        <v>27</v>
      </c>
      <c r="C36" s="9">
        <f>+'Column 4 Recon'!C36+'Column 4 Recon'!D36</f>
        <v>960600</v>
      </c>
      <c r="D36" s="98">
        <f>+'Reserve Allocation - Corrected'!N55</f>
        <v>960600.3947900011</v>
      </c>
      <c r="E36" s="98">
        <f>+'Annual Status 2024 Corrected '!N8+'Annual Status 2024 Corrected '!N49</f>
        <v>960600.3947900011</v>
      </c>
      <c r="F36" s="10">
        <f t="shared" si="0"/>
        <v>-0.39479000109713525</v>
      </c>
      <c r="G36" s="10">
        <f t="shared" si="1"/>
        <v>-0.39479000109713525</v>
      </c>
      <c r="H36" s="98"/>
      <c r="I36" s="9">
        <f t="shared" si="2"/>
        <v>-0.39479000109713525</v>
      </c>
    </row>
    <row r="37" spans="1:9" x14ac:dyDescent="0.25">
      <c r="A37" s="8">
        <v>39600</v>
      </c>
      <c r="B37" s="8" t="s">
        <v>28</v>
      </c>
      <c r="C37" s="9">
        <f>+'Column 4 Recon'!C37+'Column 4 Recon'!D37</f>
        <v>2164798</v>
      </c>
      <c r="D37" s="98">
        <f>+'Reserve Allocation - Corrected'!N56</f>
        <v>2164797.811180288</v>
      </c>
      <c r="E37" s="98">
        <f>+'Annual Status 2024 Corrected '!N51</f>
        <v>2164797.811180288</v>
      </c>
      <c r="F37" s="10">
        <f t="shared" si="0"/>
        <v>0.18881971202790737</v>
      </c>
      <c r="G37" s="10">
        <f t="shared" si="1"/>
        <v>0.18881971202790737</v>
      </c>
      <c r="H37" s="98"/>
      <c r="I37" s="9">
        <f t="shared" si="2"/>
        <v>0.18881971202790737</v>
      </c>
    </row>
    <row r="38" spans="1:9" x14ac:dyDescent="0.25">
      <c r="A38" s="8">
        <v>39800</v>
      </c>
      <c r="B38" s="8" t="s">
        <v>29</v>
      </c>
      <c r="C38" s="9">
        <f>+'Column 4 Recon'!C38+'Column 4 Recon'!D38</f>
        <v>234465</v>
      </c>
      <c r="D38" s="98">
        <f>+'Reserve Allocation - Corrected'!N58</f>
        <v>234465.05245680836</v>
      </c>
      <c r="E38" s="98">
        <f>+'Annual Status 2024 Corrected '!N53</f>
        <v>234465.05245680836</v>
      </c>
      <c r="F38" s="10">
        <f t="shared" si="0"/>
        <v>-5.2456808363785967E-2</v>
      </c>
      <c r="G38" s="10">
        <f t="shared" si="1"/>
        <v>-5.2456808363785967E-2</v>
      </c>
      <c r="H38" s="98"/>
      <c r="I38" s="9">
        <f t="shared" si="2"/>
        <v>-5.2456808363785967E-2</v>
      </c>
    </row>
    <row r="40" spans="1:9" x14ac:dyDescent="0.25">
      <c r="A40" t="s">
        <v>205</v>
      </c>
    </row>
    <row r="41" spans="1:9" x14ac:dyDescent="0.25">
      <c r="A41" t="s">
        <v>207</v>
      </c>
    </row>
  </sheetData>
  <pageMargins left="0.7" right="0.7" top="0.75" bottom="0.75" header="0.3" footer="0.3"/>
  <pageSetup scale="84" orientation="landscape" horizontalDpi="90" verticalDpi="90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FE7F8-1EEB-4F36-8773-7BBD57DBF2C1}">
  <dimension ref="A1:Q380"/>
  <sheetViews>
    <sheetView tabSelected="1" workbookViewId="0">
      <selection activeCell="H82" sqref="H82"/>
    </sheetView>
  </sheetViews>
  <sheetFormatPr defaultRowHeight="15" x14ac:dyDescent="0.25"/>
  <cols>
    <col min="1" max="1" width="21.5703125" style="16" customWidth="1"/>
    <col min="2" max="5" width="9.140625" style="16"/>
    <col min="6" max="6" width="33.140625" style="16" customWidth="1"/>
    <col min="7" max="7" width="9.140625" style="16"/>
    <col min="8" max="8" width="27.140625" style="17" customWidth="1"/>
    <col min="9" max="9" width="9.140625" style="18"/>
    <col min="10" max="10" width="29" style="18" customWidth="1"/>
    <col min="11" max="11" width="11.28515625" style="16" bestFit="1" customWidth="1"/>
    <col min="12" max="12" width="20.42578125" style="16" customWidth="1"/>
    <col min="13" max="13" width="9.140625" style="16"/>
    <col min="14" max="14" width="19.85546875" style="16" customWidth="1"/>
    <col min="15" max="16384" width="9.140625" style="16"/>
  </cols>
  <sheetData>
    <row r="1" spans="1:17" x14ac:dyDescent="0.25">
      <c r="A1" t="s">
        <v>286</v>
      </c>
      <c r="B1"/>
      <c r="C1"/>
      <c r="D1"/>
      <c r="E1"/>
      <c r="F1"/>
      <c r="G1"/>
      <c r="H1" s="58"/>
      <c r="I1" s="102"/>
      <c r="J1" s="102"/>
      <c r="K1"/>
      <c r="L1"/>
      <c r="M1"/>
      <c r="N1"/>
    </row>
    <row r="2" spans="1:17" x14ac:dyDescent="0.25">
      <c r="A2"/>
      <c r="B2"/>
      <c r="C2"/>
      <c r="D2"/>
      <c r="E2"/>
      <c r="F2"/>
      <c r="G2"/>
      <c r="H2" s="58"/>
      <c r="I2" s="102"/>
      <c r="J2" s="102"/>
      <c r="K2"/>
      <c r="L2"/>
      <c r="M2"/>
      <c r="N2"/>
    </row>
    <row r="3" spans="1:17" x14ac:dyDescent="0.25">
      <c r="A3" t="s">
        <v>235</v>
      </c>
      <c r="B3"/>
      <c r="C3"/>
      <c r="D3"/>
      <c r="E3"/>
      <c r="F3"/>
      <c r="G3"/>
      <c r="H3" s="58"/>
      <c r="I3" s="102"/>
      <c r="J3" s="102"/>
      <c r="K3"/>
      <c r="L3"/>
      <c r="M3"/>
      <c r="N3"/>
    </row>
    <row r="4" spans="1:17" x14ac:dyDescent="0.25">
      <c r="A4" t="s">
        <v>236</v>
      </c>
      <c r="B4"/>
      <c r="C4"/>
      <c r="D4"/>
      <c r="E4"/>
      <c r="F4"/>
      <c r="G4"/>
      <c r="H4" s="58"/>
      <c r="I4" s="102"/>
      <c r="J4" s="102"/>
      <c r="K4"/>
      <c r="L4"/>
      <c r="M4"/>
      <c r="N4"/>
    </row>
    <row r="5" spans="1:17" hidden="1" x14ac:dyDescent="0.25">
      <c r="A5" t="s">
        <v>237</v>
      </c>
      <c r="B5"/>
      <c r="C5"/>
      <c r="D5"/>
      <c r="E5"/>
      <c r="F5"/>
      <c r="G5"/>
      <c r="H5" s="58"/>
      <c r="I5" s="102"/>
      <c r="J5" s="102"/>
      <c r="K5"/>
      <c r="L5"/>
      <c r="M5"/>
      <c r="N5"/>
    </row>
    <row r="6" spans="1:17" hidden="1" x14ac:dyDescent="0.25">
      <c r="A6"/>
      <c r="B6"/>
      <c r="C6"/>
      <c r="D6"/>
      <c r="E6"/>
      <c r="F6"/>
      <c r="G6"/>
      <c r="H6" s="58"/>
      <c r="I6" s="102"/>
      <c r="J6" s="102"/>
      <c r="K6"/>
      <c r="L6"/>
      <c r="M6"/>
      <c r="N6"/>
    </row>
    <row r="7" spans="1:17" hidden="1" x14ac:dyDescent="0.25">
      <c r="A7"/>
      <c r="B7"/>
      <c r="C7"/>
      <c r="D7"/>
      <c r="E7"/>
      <c r="F7"/>
      <c r="G7"/>
      <c r="H7" s="58"/>
      <c r="I7" s="102"/>
      <c r="J7" s="102"/>
      <c r="K7"/>
      <c r="L7"/>
      <c r="M7"/>
      <c r="N7"/>
    </row>
    <row r="8" spans="1:17" hidden="1" x14ac:dyDescent="0.25">
      <c r="A8"/>
      <c r="B8"/>
      <c r="C8"/>
      <c r="D8"/>
      <c r="E8"/>
      <c r="F8"/>
      <c r="G8"/>
      <c r="H8" s="58"/>
      <c r="I8" s="102"/>
      <c r="J8" s="102"/>
      <c r="K8"/>
      <c r="L8"/>
      <c r="M8"/>
      <c r="N8"/>
    </row>
    <row r="9" spans="1:17" x14ac:dyDescent="0.25">
      <c r="A9"/>
      <c r="B9"/>
      <c r="C9"/>
      <c r="D9"/>
      <c r="E9"/>
      <c r="F9"/>
      <c r="G9"/>
      <c r="H9" s="58"/>
      <c r="I9" s="102"/>
      <c r="J9" s="102"/>
      <c r="K9"/>
      <c r="L9"/>
      <c r="M9"/>
      <c r="N9"/>
    </row>
    <row r="10" spans="1:17" x14ac:dyDescent="0.25">
      <c r="A10"/>
      <c r="B10"/>
      <c r="C10"/>
      <c r="D10"/>
      <c r="E10"/>
      <c r="F10"/>
      <c r="G10"/>
      <c r="H10" s="58"/>
      <c r="I10" s="102"/>
      <c r="J10" s="102"/>
      <c r="K10"/>
      <c r="L10"/>
      <c r="M10"/>
      <c r="N10"/>
    </row>
    <row r="11" spans="1:17" x14ac:dyDescent="0.25">
      <c r="A11"/>
      <c r="B11"/>
      <c r="C11"/>
      <c r="D11"/>
      <c r="E11"/>
      <c r="F11" s="103" t="s">
        <v>55</v>
      </c>
      <c r="G11" s="77"/>
      <c r="H11" s="104" t="s">
        <v>56</v>
      </c>
      <c r="I11" s="105"/>
      <c r="J11" s="106" t="s">
        <v>40</v>
      </c>
      <c r="K11" s="77"/>
      <c r="L11" s="103" t="s">
        <v>57</v>
      </c>
      <c r="M11" s="77"/>
      <c r="N11" s="103" t="s">
        <v>58</v>
      </c>
    </row>
    <row r="12" spans="1:17" x14ac:dyDescent="0.25">
      <c r="A12"/>
      <c r="B12"/>
      <c r="C12"/>
      <c r="D12"/>
      <c r="E12"/>
      <c r="F12"/>
      <c r="G12"/>
      <c r="H12" s="58"/>
      <c r="I12" s="102"/>
      <c r="J12" s="102"/>
      <c r="K12"/>
      <c r="L12"/>
      <c r="M12"/>
      <c r="N12"/>
    </row>
    <row r="13" spans="1:17" x14ac:dyDescent="0.25">
      <c r="A13" t="s">
        <v>238</v>
      </c>
      <c r="B13"/>
      <c r="C13"/>
      <c r="D13"/>
      <c r="E13"/>
      <c r="F13" s="102"/>
      <c r="G13"/>
      <c r="H13" s="58"/>
      <c r="I13" s="102"/>
      <c r="J13" s="102"/>
      <c r="K13"/>
      <c r="L13"/>
      <c r="M13"/>
      <c r="N13"/>
      <c r="Q13" s="6" t="s">
        <v>184</v>
      </c>
    </row>
    <row r="14" spans="1:17" x14ac:dyDescent="0.25">
      <c r="A14">
        <v>30300</v>
      </c>
      <c r="B14">
        <v>30300</v>
      </c>
      <c r="C14" t="s">
        <v>239</v>
      </c>
      <c r="D14"/>
      <c r="E14"/>
      <c r="F14" s="102">
        <v>815325.0699999989</v>
      </c>
      <c r="G14"/>
      <c r="H14" s="58">
        <v>815325.07000000007</v>
      </c>
      <c r="I14" s="102"/>
      <c r="J14" s="102">
        <f>+H14-F14</f>
        <v>1.1641532182693481E-9</v>
      </c>
      <c r="K14"/>
      <c r="L14"/>
      <c r="M14"/>
      <c r="N14" s="107">
        <f>+F14</f>
        <v>815325.0699999989</v>
      </c>
      <c r="Q14" s="38" t="s">
        <v>234</v>
      </c>
    </row>
    <row r="15" spans="1:17" x14ac:dyDescent="0.25">
      <c r="A15">
        <v>30301</v>
      </c>
      <c r="B15">
        <v>30301</v>
      </c>
      <c r="C15" t="s">
        <v>240</v>
      </c>
      <c r="D15"/>
      <c r="E15"/>
      <c r="F15" s="102">
        <v>37523500.841743499</v>
      </c>
      <c r="G15"/>
      <c r="H15" s="58">
        <v>37163156.813666657</v>
      </c>
      <c r="I15" s="102"/>
      <c r="J15" s="102">
        <f>+H15-F15</f>
        <v>-360344.02807684243</v>
      </c>
      <c r="K15"/>
      <c r="L15"/>
      <c r="M15"/>
      <c r="N15" s="107">
        <f>+F15</f>
        <v>37523500.841743499</v>
      </c>
      <c r="Q15" s="6" t="s">
        <v>229</v>
      </c>
    </row>
    <row r="16" spans="1:17" x14ac:dyDescent="0.25">
      <c r="A16"/>
      <c r="B16"/>
      <c r="C16"/>
      <c r="D16"/>
      <c r="E16"/>
      <c r="F16" s="102">
        <f>SUM(F14:F15)</f>
        <v>38338825.911743499</v>
      </c>
      <c r="G16"/>
      <c r="H16" s="102">
        <v>37978481.883666657</v>
      </c>
      <c r="I16" s="102"/>
      <c r="J16" s="102"/>
      <c r="K16"/>
      <c r="L16"/>
      <c r="M16"/>
      <c r="N16" s="102">
        <f>SUM(N14:N15)</f>
        <v>38338825.911743499</v>
      </c>
    </row>
    <row r="17" spans="1:14" x14ac:dyDescent="0.25">
      <c r="A17"/>
      <c r="B17"/>
      <c r="C17"/>
      <c r="D17"/>
      <c r="E17"/>
      <c r="F17" s="102"/>
      <c r="G17"/>
      <c r="H17" s="58"/>
      <c r="I17" s="102"/>
      <c r="J17" s="102"/>
      <c r="K17"/>
      <c r="L17"/>
      <c r="M17"/>
      <c r="N17"/>
    </row>
    <row r="18" spans="1:14" x14ac:dyDescent="0.25">
      <c r="A18"/>
      <c r="B18"/>
      <c r="C18"/>
      <c r="D18"/>
      <c r="E18"/>
      <c r="F18" s="102"/>
      <c r="G18"/>
      <c r="H18" s="58"/>
      <c r="I18" s="102"/>
      <c r="J18" s="102"/>
      <c r="K18"/>
      <c r="L18"/>
      <c r="M18"/>
      <c r="N18"/>
    </row>
    <row r="19" spans="1:14" x14ac:dyDescent="0.25">
      <c r="A19" t="s">
        <v>241</v>
      </c>
      <c r="B19" t="s">
        <v>242</v>
      </c>
      <c r="C19"/>
      <c r="D19"/>
      <c r="E19"/>
      <c r="F19" s="102"/>
      <c r="G19"/>
      <c r="H19" s="58"/>
      <c r="I19" s="102"/>
      <c r="J19" s="102"/>
      <c r="K19"/>
      <c r="L19"/>
      <c r="M19"/>
      <c r="N19"/>
    </row>
    <row r="20" spans="1:14" x14ac:dyDescent="0.25">
      <c r="A20">
        <v>37402</v>
      </c>
      <c r="B20">
        <v>37402</v>
      </c>
      <c r="C20" t="s">
        <v>6</v>
      </c>
      <c r="D20"/>
      <c r="E20"/>
      <c r="F20" s="102">
        <v>1150124.6291599963</v>
      </c>
      <c r="G20"/>
      <c r="H20" s="58">
        <v>1089359.1105333332</v>
      </c>
      <c r="I20" s="102"/>
      <c r="J20" s="102">
        <f t="shared" ref="J20:J34" si="0">+H20-F20</f>
        <v>-60765.518626663135</v>
      </c>
      <c r="K20"/>
      <c r="L20" s="107">
        <f t="shared" ref="L20:L34" si="1">-34000000*J20/J$35</f>
        <v>-14163.834802544057</v>
      </c>
      <c r="M20"/>
      <c r="N20" s="107">
        <f t="shared" ref="N20:N34" si="2">+F20+L20</f>
        <v>1135960.7943574523</v>
      </c>
    </row>
    <row r="21" spans="1:14" x14ac:dyDescent="0.25">
      <c r="A21">
        <v>37500</v>
      </c>
      <c r="B21">
        <v>37500</v>
      </c>
      <c r="C21" t="s">
        <v>243</v>
      </c>
      <c r="D21"/>
      <c r="E21"/>
      <c r="F21" s="102">
        <v>8870301.6791932359</v>
      </c>
      <c r="G21"/>
      <c r="H21" s="58">
        <v>6646684.4072978618</v>
      </c>
      <c r="I21" s="102"/>
      <c r="J21" s="102">
        <f t="shared" si="0"/>
        <v>-2223617.2718953742</v>
      </c>
      <c r="K21"/>
      <c r="L21" s="107">
        <f t="shared" si="1"/>
        <v>-518302.95231595688</v>
      </c>
      <c r="M21"/>
      <c r="N21" s="107">
        <f t="shared" si="2"/>
        <v>8351998.7268772786</v>
      </c>
    </row>
    <row r="22" spans="1:14" x14ac:dyDescent="0.25">
      <c r="A22">
        <v>37600</v>
      </c>
      <c r="B22">
        <v>37600</v>
      </c>
      <c r="C22" t="s">
        <v>244</v>
      </c>
      <c r="D22"/>
      <c r="E22"/>
      <c r="F22" s="102">
        <v>221233588.2661801</v>
      </c>
      <c r="G22"/>
      <c r="H22" s="58">
        <v>213455382.31925929</v>
      </c>
      <c r="I22" s="102"/>
      <c r="J22" s="102">
        <f t="shared" si="0"/>
        <v>-7778205.9469208121</v>
      </c>
      <c r="K22"/>
      <c r="L22" s="107">
        <f>-34000000*J22/J$35+34000000</f>
        <v>32186977.967402533</v>
      </c>
      <c r="M22"/>
      <c r="N22" s="107">
        <f>+F22+L22</f>
        <v>253420566.23358262</v>
      </c>
    </row>
    <row r="23" spans="1:14" x14ac:dyDescent="0.25">
      <c r="A23">
        <v>37602</v>
      </c>
      <c r="B23">
        <v>37602</v>
      </c>
      <c r="C23" t="s">
        <v>245</v>
      </c>
      <c r="D23"/>
      <c r="E23"/>
      <c r="F23" s="102">
        <v>213121528.94005474</v>
      </c>
      <c r="G23"/>
      <c r="H23" s="58">
        <v>154020496.13400501</v>
      </c>
      <c r="I23" s="102"/>
      <c r="J23" s="102">
        <f t="shared" si="0"/>
        <v>-59101032.806049734</v>
      </c>
      <c r="K23"/>
      <c r="L23" s="107">
        <f>-34000000*J23/J$35</f>
        <v>-13775859.800813381</v>
      </c>
      <c r="M23"/>
      <c r="N23" s="107">
        <f t="shared" si="2"/>
        <v>199345669.13924137</v>
      </c>
    </row>
    <row r="24" spans="1:14" x14ac:dyDescent="0.25">
      <c r="A24">
        <v>37700</v>
      </c>
      <c r="B24">
        <v>37700</v>
      </c>
      <c r="C24" t="s">
        <v>10</v>
      </c>
      <c r="D24"/>
      <c r="E24"/>
      <c r="F24" s="102">
        <v>1921393.2040000004</v>
      </c>
      <c r="G24"/>
      <c r="H24" s="58">
        <v>1712927.2714726988</v>
      </c>
      <c r="I24" s="102"/>
      <c r="J24" s="102">
        <f t="shared" si="0"/>
        <v>-208465.9325273016</v>
      </c>
      <c r="K24"/>
      <c r="L24" s="107">
        <f t="shared" si="1"/>
        <v>-48591.324438715463</v>
      </c>
      <c r="M24"/>
      <c r="N24" s="107">
        <f t="shared" si="2"/>
        <v>1872801.879561285</v>
      </c>
    </row>
    <row r="25" spans="1:14" x14ac:dyDescent="0.25">
      <c r="A25">
        <v>37800</v>
      </c>
      <c r="B25">
        <v>37800</v>
      </c>
      <c r="C25" t="s">
        <v>246</v>
      </c>
      <c r="D25"/>
      <c r="E25"/>
      <c r="F25" s="102">
        <v>6423569.0301257977</v>
      </c>
      <c r="G25"/>
      <c r="H25" s="58">
        <v>6284422.7513010539</v>
      </c>
      <c r="I25" s="102"/>
      <c r="J25" s="102">
        <f t="shared" si="0"/>
        <v>-139146.27882474381</v>
      </c>
      <c r="K25"/>
      <c r="L25" s="107">
        <f t="shared" si="1"/>
        <v>-32433.6062820605</v>
      </c>
      <c r="M25"/>
      <c r="N25" s="107">
        <f t="shared" si="2"/>
        <v>6391135.4238437377</v>
      </c>
    </row>
    <row r="26" spans="1:14" x14ac:dyDescent="0.25">
      <c r="A26">
        <v>37900</v>
      </c>
      <c r="B26">
        <v>37900</v>
      </c>
      <c r="C26" t="s">
        <v>247</v>
      </c>
      <c r="D26"/>
      <c r="E26"/>
      <c r="F26" s="102">
        <v>21492591.184315529</v>
      </c>
      <c r="G26"/>
      <c r="H26" s="58">
        <v>17264597.749771152</v>
      </c>
      <c r="I26" s="102"/>
      <c r="J26" s="102">
        <f t="shared" si="0"/>
        <v>-4227993.434544377</v>
      </c>
      <c r="K26"/>
      <c r="L26" s="107">
        <f t="shared" si="1"/>
        <v>-985502.99424007267</v>
      </c>
      <c r="M26"/>
      <c r="N26" s="107">
        <f t="shared" si="2"/>
        <v>20507088.190075457</v>
      </c>
    </row>
    <row r="27" spans="1:14" x14ac:dyDescent="0.25">
      <c r="A27">
        <v>38000</v>
      </c>
      <c r="B27">
        <v>38000</v>
      </c>
      <c r="C27" t="s">
        <v>248</v>
      </c>
      <c r="D27"/>
      <c r="E27"/>
      <c r="F27" s="102">
        <v>45369271.820070066</v>
      </c>
      <c r="G27"/>
      <c r="H27" s="58">
        <v>39910593.943207212</v>
      </c>
      <c r="I27" s="102"/>
      <c r="J27" s="102">
        <f t="shared" si="0"/>
        <v>-5458677.8768628538</v>
      </c>
      <c r="K27"/>
      <c r="L27" s="107">
        <f t="shared" si="1"/>
        <v>-1272363.2322338512</v>
      </c>
      <c r="M27"/>
      <c r="N27" s="107">
        <f t="shared" si="2"/>
        <v>44096908.587836213</v>
      </c>
    </row>
    <row r="28" spans="1:14" x14ac:dyDescent="0.25">
      <c r="A28">
        <v>38002</v>
      </c>
      <c r="B28">
        <v>38002</v>
      </c>
      <c r="C28" t="s">
        <v>249</v>
      </c>
      <c r="D28"/>
      <c r="E28"/>
      <c r="F28" s="102">
        <v>221130215.59483576</v>
      </c>
      <c r="G28"/>
      <c r="H28" s="58">
        <v>185714204.14471656</v>
      </c>
      <c r="I28" s="102"/>
      <c r="J28" s="102">
        <f t="shared" si="0"/>
        <v>-35416011.450119197</v>
      </c>
      <c r="K28"/>
      <c r="L28" s="107">
        <f t="shared" si="1"/>
        <v>-8255118.147290688</v>
      </c>
      <c r="M28"/>
      <c r="N28" s="107">
        <f t="shared" si="2"/>
        <v>212875097.44754508</v>
      </c>
    </row>
    <row r="29" spans="1:14" x14ac:dyDescent="0.25">
      <c r="A29">
        <v>38100</v>
      </c>
      <c r="B29">
        <v>38100</v>
      </c>
      <c r="C29" t="s">
        <v>15</v>
      </c>
      <c r="D29"/>
      <c r="E29"/>
      <c r="F29" s="102">
        <v>45724877.058113605</v>
      </c>
      <c r="G29"/>
      <c r="H29" s="58">
        <v>40793282.630863972</v>
      </c>
      <c r="I29" s="102"/>
      <c r="J29" s="102">
        <f t="shared" si="0"/>
        <v>-4931594.4272496328</v>
      </c>
      <c r="K29"/>
      <c r="L29" s="107">
        <f t="shared" si="1"/>
        <v>-1149505.3503922743</v>
      </c>
      <c r="M29"/>
      <c r="N29" s="107">
        <f t="shared" si="2"/>
        <v>44575371.70772133</v>
      </c>
    </row>
    <row r="30" spans="1:14" x14ac:dyDescent="0.25">
      <c r="A30">
        <v>38200</v>
      </c>
      <c r="B30">
        <v>38200</v>
      </c>
      <c r="C30" t="s">
        <v>16</v>
      </c>
      <c r="D30"/>
      <c r="E30"/>
      <c r="F30" s="102">
        <v>39220335.020286247</v>
      </c>
      <c r="G30"/>
      <c r="H30" s="58">
        <v>26090765.795172412</v>
      </c>
      <c r="I30" s="102"/>
      <c r="J30" s="102">
        <f t="shared" si="0"/>
        <v>-13129569.225113835</v>
      </c>
      <c r="K30"/>
      <c r="L30" s="107">
        <f t="shared" si="1"/>
        <v>-3060371.3049110658</v>
      </c>
      <c r="M30"/>
      <c r="N30" s="107">
        <f t="shared" si="2"/>
        <v>36159963.715375185</v>
      </c>
    </row>
    <row r="31" spans="1:14" x14ac:dyDescent="0.25">
      <c r="A31">
        <v>38300</v>
      </c>
      <c r="B31">
        <v>38300</v>
      </c>
      <c r="C31" t="s">
        <v>250</v>
      </c>
      <c r="D31"/>
      <c r="E31"/>
      <c r="F31" s="102">
        <v>9756397.2436845917</v>
      </c>
      <c r="G31"/>
      <c r="H31" s="58">
        <v>7147798.035088392</v>
      </c>
      <c r="I31" s="102"/>
      <c r="J31" s="102">
        <f t="shared" si="0"/>
        <v>-2608599.2085961998</v>
      </c>
      <c r="K31"/>
      <c r="L31" s="107">
        <f t="shared" si="1"/>
        <v>-608038.39235877979</v>
      </c>
      <c r="M31"/>
      <c r="N31" s="107">
        <f t="shared" si="2"/>
        <v>9148358.8513258118</v>
      </c>
    </row>
    <row r="32" spans="1:14" x14ac:dyDescent="0.25">
      <c r="A32">
        <v>38400</v>
      </c>
      <c r="B32">
        <v>38400</v>
      </c>
      <c r="C32" t="s">
        <v>251</v>
      </c>
      <c r="D32"/>
      <c r="E32"/>
      <c r="F32" s="102">
        <v>17117052.271989994</v>
      </c>
      <c r="G32"/>
      <c r="H32" s="58">
        <v>10539845.870312724</v>
      </c>
      <c r="I32" s="102"/>
      <c r="J32" s="102">
        <f t="shared" si="0"/>
        <v>-6577206.4016772695</v>
      </c>
      <c r="K32"/>
      <c r="L32" s="107">
        <f t="shared" si="1"/>
        <v>-1533081.0472950581</v>
      </c>
      <c r="M32"/>
      <c r="N32" s="107">
        <f t="shared" si="2"/>
        <v>15583971.224694936</v>
      </c>
    </row>
    <row r="33" spans="1:14" x14ac:dyDescent="0.25">
      <c r="A33">
        <v>38500</v>
      </c>
      <c r="B33">
        <v>38500</v>
      </c>
      <c r="C33" t="s">
        <v>252</v>
      </c>
      <c r="D33"/>
      <c r="E33"/>
      <c r="F33" s="102">
        <v>7665448.2188000074</v>
      </c>
      <c r="G33"/>
      <c r="H33" s="58">
        <v>6042387.4269409757</v>
      </c>
      <c r="I33" s="102"/>
      <c r="J33" s="102">
        <f t="shared" si="0"/>
        <v>-1623060.7918590317</v>
      </c>
      <c r="K33"/>
      <c r="L33" s="107">
        <f t="shared" si="1"/>
        <v>-378319.24173342763</v>
      </c>
      <c r="M33"/>
      <c r="N33" s="107">
        <f t="shared" si="2"/>
        <v>7287128.9770665802</v>
      </c>
    </row>
    <row r="34" spans="1:14" x14ac:dyDescent="0.25">
      <c r="A34">
        <v>38700</v>
      </c>
      <c r="B34">
        <v>38700</v>
      </c>
      <c r="C34" t="s">
        <v>20</v>
      </c>
      <c r="D34"/>
      <c r="E34"/>
      <c r="F34" s="102">
        <v>6236109.3518000003</v>
      </c>
      <c r="G34"/>
      <c r="H34" s="58">
        <v>3853653.0657618181</v>
      </c>
      <c r="I34" s="102"/>
      <c r="J34" s="102">
        <f t="shared" si="0"/>
        <v>-2382456.2860381822</v>
      </c>
      <c r="K34"/>
      <c r="L34" s="107">
        <f t="shared" si="1"/>
        <v>-555326.73829464708</v>
      </c>
      <c r="M34"/>
      <c r="N34" s="107">
        <f t="shared" si="2"/>
        <v>5680782.6135053532</v>
      </c>
    </row>
    <row r="35" spans="1:14" x14ac:dyDescent="0.25">
      <c r="A35"/>
      <c r="B35"/>
      <c r="C35" t="s">
        <v>253</v>
      </c>
      <c r="D35"/>
      <c r="E35"/>
      <c r="F35" s="108">
        <f>SUM(F20:F34)</f>
        <v>866432803.51260948</v>
      </c>
      <c r="G35" s="109"/>
      <c r="H35" s="110">
        <v>720566400.6557045</v>
      </c>
      <c r="I35" s="108"/>
      <c r="J35" s="108">
        <f>SUM(J20:J34)</f>
        <v>-145866402.85690525</v>
      </c>
      <c r="K35" s="109"/>
      <c r="L35" s="108">
        <f>SUM(L20:L34)</f>
        <v>8.8475644588470459E-9</v>
      </c>
      <c r="M35" s="109"/>
      <c r="N35" s="108">
        <f>SUM(N20:N34)</f>
        <v>866432803.51260984</v>
      </c>
    </row>
    <row r="36" spans="1:14" x14ac:dyDescent="0.25">
      <c r="A36"/>
      <c r="B36"/>
      <c r="C36"/>
      <c r="D36"/>
      <c r="E36"/>
      <c r="F36" s="102"/>
      <c r="G36"/>
      <c r="H36" s="58"/>
      <c r="I36" s="102"/>
      <c r="J36" s="102"/>
      <c r="K36"/>
      <c r="L36"/>
      <c r="M36"/>
      <c r="N36"/>
    </row>
    <row r="37" spans="1:14" hidden="1" x14ac:dyDescent="0.25">
      <c r="A37"/>
      <c r="B37"/>
      <c r="C37"/>
      <c r="D37"/>
      <c r="E37"/>
      <c r="F37" s="102"/>
      <c r="G37"/>
      <c r="H37" s="58"/>
      <c r="I37" s="102"/>
      <c r="J37" s="102"/>
      <c r="K37"/>
      <c r="L37"/>
      <c r="M37"/>
      <c r="N37"/>
    </row>
    <row r="38" spans="1:14" hidden="1" x14ac:dyDescent="0.25">
      <c r="A38"/>
      <c r="B38"/>
      <c r="C38"/>
      <c r="D38"/>
      <c r="E38"/>
      <c r="F38" s="102"/>
      <c r="G38"/>
      <c r="H38" s="58"/>
      <c r="I38" s="102"/>
      <c r="J38" s="102"/>
      <c r="K38"/>
      <c r="L38"/>
      <c r="M38"/>
      <c r="N38"/>
    </row>
    <row r="39" spans="1:14" hidden="1" x14ac:dyDescent="0.25">
      <c r="A39"/>
      <c r="B39"/>
      <c r="C39"/>
      <c r="D39"/>
      <c r="E39"/>
      <c r="F39" s="102"/>
      <c r="G39"/>
      <c r="H39" s="58"/>
      <c r="I39" s="102"/>
      <c r="J39" s="102"/>
      <c r="K39"/>
      <c r="L39"/>
      <c r="M39"/>
      <c r="N39"/>
    </row>
    <row r="40" spans="1:14" hidden="1" x14ac:dyDescent="0.25">
      <c r="A40"/>
      <c r="B40"/>
      <c r="C40"/>
      <c r="D40"/>
      <c r="E40"/>
      <c r="F40" s="102"/>
      <c r="G40"/>
      <c r="H40" s="58"/>
      <c r="I40" s="102"/>
      <c r="J40" s="102"/>
      <c r="K40"/>
      <c r="L40"/>
      <c r="M40"/>
      <c r="N40"/>
    </row>
    <row r="41" spans="1:14" hidden="1" x14ac:dyDescent="0.25">
      <c r="A41"/>
      <c r="B41"/>
      <c r="C41"/>
      <c r="D41"/>
      <c r="E41"/>
      <c r="F41" s="102"/>
      <c r="G41"/>
      <c r="H41" s="58"/>
      <c r="I41" s="102"/>
      <c r="J41" s="102"/>
      <c r="K41"/>
      <c r="L41"/>
      <c r="M41"/>
      <c r="N41"/>
    </row>
    <row r="42" spans="1:14" hidden="1" x14ac:dyDescent="0.25">
      <c r="A42"/>
      <c r="B42"/>
      <c r="C42"/>
      <c r="D42"/>
      <c r="E42"/>
      <c r="F42" s="102"/>
      <c r="G42"/>
      <c r="H42" s="58"/>
      <c r="I42" s="102"/>
      <c r="J42" s="102"/>
      <c r="K42"/>
      <c r="L42"/>
      <c r="M42"/>
      <c r="N42"/>
    </row>
    <row r="43" spans="1:14" hidden="1" x14ac:dyDescent="0.25">
      <c r="A43"/>
      <c r="B43"/>
      <c r="C43"/>
      <c r="D43"/>
      <c r="E43"/>
      <c r="F43" s="102"/>
      <c r="G43"/>
      <c r="H43" s="58"/>
      <c r="I43" s="102"/>
      <c r="J43" s="102"/>
      <c r="K43"/>
      <c r="L43"/>
      <c r="M43"/>
      <c r="N43"/>
    </row>
    <row r="44" spans="1:14" x14ac:dyDescent="0.25">
      <c r="A44" t="s">
        <v>254</v>
      </c>
      <c r="B44" t="s">
        <v>255</v>
      </c>
      <c r="C44"/>
      <c r="D44"/>
      <c r="E44"/>
      <c r="F44" s="102"/>
      <c r="G44"/>
      <c r="H44" s="58"/>
      <c r="I44" s="102"/>
      <c r="J44" s="102"/>
      <c r="K44"/>
      <c r="L44"/>
      <c r="M44"/>
      <c r="N44"/>
    </row>
    <row r="45" spans="1:14" x14ac:dyDescent="0.25">
      <c r="A45">
        <v>39000</v>
      </c>
      <c r="B45">
        <v>39000</v>
      </c>
      <c r="C45" t="s">
        <v>243</v>
      </c>
      <c r="D45"/>
      <c r="E45"/>
      <c r="F45" s="102">
        <v>45567.602230799923</v>
      </c>
      <c r="G45"/>
      <c r="H45" s="58">
        <v>56332.524374953209</v>
      </c>
      <c r="I45" s="102"/>
      <c r="J45" s="102">
        <f t="shared" ref="J45:J58" si="3">+H45-F45</f>
        <v>10764.922144153286</v>
      </c>
      <c r="K45"/>
      <c r="L45"/>
      <c r="M45"/>
      <c r="N45" s="107">
        <f t="shared" ref="N45:N58" si="4">+F45+L45</f>
        <v>45567.602230799923</v>
      </c>
    </row>
    <row r="46" spans="1:14" x14ac:dyDescent="0.25">
      <c r="A46">
        <v>39100</v>
      </c>
      <c r="B46">
        <v>39100</v>
      </c>
      <c r="C46" t="s">
        <v>256</v>
      </c>
      <c r="D46"/>
      <c r="E46"/>
      <c r="F46" s="102">
        <v>1224836.9394966271</v>
      </c>
      <c r="G46"/>
      <c r="H46" s="58">
        <v>1079695.2676470587</v>
      </c>
      <c r="I46" s="102"/>
      <c r="J46" s="102">
        <f t="shared" si="3"/>
        <v>-145141.67184956837</v>
      </c>
      <c r="K46"/>
      <c r="L46"/>
      <c r="M46"/>
      <c r="N46" s="107">
        <f t="shared" si="4"/>
        <v>1224836.9394966271</v>
      </c>
    </row>
    <row r="47" spans="1:14" x14ac:dyDescent="0.25">
      <c r="A47">
        <v>39101</v>
      </c>
      <c r="B47">
        <v>39101</v>
      </c>
      <c r="C47" t="s">
        <v>22</v>
      </c>
      <c r="D47"/>
      <c r="E47"/>
      <c r="F47" s="102">
        <v>3924148.9696351429</v>
      </c>
      <c r="G47"/>
      <c r="H47" s="58">
        <v>2954096.7411101125</v>
      </c>
      <c r="I47" s="102"/>
      <c r="J47" s="102">
        <f t="shared" si="3"/>
        <v>-970052.22852503043</v>
      </c>
      <c r="K47"/>
      <c r="L47"/>
      <c r="M47"/>
      <c r="N47" s="107">
        <f t="shared" si="4"/>
        <v>3924148.9696351429</v>
      </c>
    </row>
    <row r="48" spans="1:14" x14ac:dyDescent="0.25">
      <c r="A48">
        <v>39102</v>
      </c>
      <c r="B48">
        <v>39102</v>
      </c>
      <c r="C48" t="s">
        <v>257</v>
      </c>
      <c r="D48"/>
      <c r="E48"/>
      <c r="F48" s="102">
        <v>1058589.1951199991</v>
      </c>
      <c r="G48"/>
      <c r="H48" s="58">
        <v>1017935.451</v>
      </c>
      <c r="I48" s="102"/>
      <c r="J48" s="102">
        <f t="shared" si="3"/>
        <v>-40653.744119999115</v>
      </c>
      <c r="K48"/>
      <c r="L48"/>
      <c r="M48"/>
      <c r="N48" s="107">
        <f t="shared" si="4"/>
        <v>1058589.1951199991</v>
      </c>
    </row>
    <row r="49" spans="1:15" x14ac:dyDescent="0.25">
      <c r="A49">
        <v>39201</v>
      </c>
      <c r="B49">
        <v>39201</v>
      </c>
      <c r="C49" t="s">
        <v>258</v>
      </c>
      <c r="D49"/>
      <c r="E49"/>
      <c r="F49" s="102">
        <v>8108218.9703835081</v>
      </c>
      <c r="G49"/>
      <c r="H49" s="58">
        <v>6878410.7265629126</v>
      </c>
      <c r="I49" s="102"/>
      <c r="J49" s="102">
        <f t="shared" si="3"/>
        <v>-1229808.2438205956</v>
      </c>
      <c r="K49"/>
      <c r="L49"/>
      <c r="M49"/>
      <c r="N49" s="107">
        <f t="shared" si="4"/>
        <v>8108218.9703835081</v>
      </c>
    </row>
    <row r="50" spans="1:15" x14ac:dyDescent="0.25">
      <c r="A50">
        <v>39202</v>
      </c>
      <c r="B50">
        <v>39202</v>
      </c>
      <c r="C50" t="s">
        <v>259</v>
      </c>
      <c r="D50"/>
      <c r="E50"/>
      <c r="F50" s="102">
        <v>9617268.0956299957</v>
      </c>
      <c r="G50"/>
      <c r="H50" s="58">
        <v>8087562.2320070891</v>
      </c>
      <c r="I50" s="102"/>
      <c r="J50" s="102">
        <f t="shared" si="3"/>
        <v>-1529705.8636229066</v>
      </c>
      <c r="K50"/>
      <c r="L50"/>
      <c r="M50"/>
      <c r="N50" s="107">
        <f t="shared" si="4"/>
        <v>9617268.0956299957</v>
      </c>
    </row>
    <row r="51" spans="1:15" x14ac:dyDescent="0.25">
      <c r="A51">
        <v>39204</v>
      </c>
      <c r="B51">
        <v>39204</v>
      </c>
      <c r="C51" t="s">
        <v>260</v>
      </c>
      <c r="D51"/>
      <c r="E51"/>
      <c r="F51" s="102">
        <v>932593.93949549214</v>
      </c>
      <c r="G51"/>
      <c r="H51" s="58">
        <v>605226.20688912738</v>
      </c>
      <c r="I51" s="102"/>
      <c r="J51" s="102">
        <f t="shared" si="3"/>
        <v>-327367.73260636476</v>
      </c>
      <c r="K51"/>
      <c r="L51"/>
      <c r="M51"/>
      <c r="N51" s="107">
        <f t="shared" si="4"/>
        <v>932593.93949549214</v>
      </c>
    </row>
    <row r="52" spans="1:15" x14ac:dyDescent="0.25">
      <c r="A52">
        <v>39205</v>
      </c>
      <c r="B52">
        <v>39205</v>
      </c>
      <c r="C52" t="s">
        <v>261</v>
      </c>
      <c r="D52"/>
      <c r="E52"/>
      <c r="F52" s="102">
        <v>1408359.9468299986</v>
      </c>
      <c r="G52"/>
      <c r="H52" s="58">
        <v>1110304.5851944366</v>
      </c>
      <c r="I52" s="102"/>
      <c r="J52" s="102">
        <f t="shared" si="3"/>
        <v>-298055.36163556203</v>
      </c>
      <c r="K52"/>
      <c r="L52"/>
      <c r="M52"/>
      <c r="N52" s="107">
        <f t="shared" si="4"/>
        <v>1408359.9468299986</v>
      </c>
    </row>
    <row r="53" spans="1:15" x14ac:dyDescent="0.25">
      <c r="A53">
        <v>39300</v>
      </c>
      <c r="B53">
        <v>39300</v>
      </c>
      <c r="C53" t="s">
        <v>262</v>
      </c>
      <c r="D53"/>
      <c r="E53"/>
      <c r="F53" s="102">
        <v>647.04815000006727</v>
      </c>
      <c r="G53"/>
      <c r="H53" s="58">
        <v>668.43229166666663</v>
      </c>
      <c r="I53" s="102"/>
      <c r="J53" s="102">
        <f t="shared" si="3"/>
        <v>21.384141666599362</v>
      </c>
      <c r="K53"/>
      <c r="L53"/>
      <c r="M53"/>
      <c r="N53" s="107">
        <f t="shared" si="4"/>
        <v>647.04815000006727</v>
      </c>
    </row>
    <row r="54" spans="1:15" x14ac:dyDescent="0.25">
      <c r="A54">
        <v>39400</v>
      </c>
      <c r="B54">
        <v>39400</v>
      </c>
      <c r="C54" t="s">
        <v>263</v>
      </c>
      <c r="D54"/>
      <c r="E54"/>
      <c r="F54" s="102">
        <v>4792330.6773568531</v>
      </c>
      <c r="G54"/>
      <c r="H54" s="58">
        <v>4162505.1461111121</v>
      </c>
      <c r="I54" s="102"/>
      <c r="J54" s="102">
        <f t="shared" si="3"/>
        <v>-629825.53124574106</v>
      </c>
      <c r="K54"/>
      <c r="L54"/>
      <c r="M54"/>
      <c r="N54" s="107">
        <f t="shared" si="4"/>
        <v>4792330.6773568531</v>
      </c>
    </row>
    <row r="55" spans="1:15" x14ac:dyDescent="0.25">
      <c r="A55">
        <v>39401</v>
      </c>
      <c r="B55">
        <v>39401</v>
      </c>
      <c r="C55" t="s">
        <v>27</v>
      </c>
      <c r="D55"/>
      <c r="E55"/>
      <c r="F55" s="102">
        <v>960600.3947900011</v>
      </c>
      <c r="G55"/>
      <c r="H55" s="58">
        <v>982914.31574999948</v>
      </c>
      <c r="I55" s="102"/>
      <c r="J55" s="102">
        <f t="shared" si="3"/>
        <v>22313.920959998388</v>
      </c>
      <c r="K55"/>
      <c r="L55"/>
      <c r="M55"/>
      <c r="N55" s="107">
        <f t="shared" si="4"/>
        <v>960600.3947900011</v>
      </c>
    </row>
    <row r="56" spans="1:15" x14ac:dyDescent="0.25">
      <c r="A56">
        <v>39600</v>
      </c>
      <c r="B56">
        <v>39600</v>
      </c>
      <c r="C56" t="s">
        <v>28</v>
      </c>
      <c r="D56"/>
      <c r="E56"/>
      <c r="F56" s="102">
        <v>2164797.811180288</v>
      </c>
      <c r="G56"/>
      <c r="H56" s="58">
        <v>1469239.0107407374</v>
      </c>
      <c r="I56" s="102"/>
      <c r="J56" s="102">
        <f t="shared" si="3"/>
        <v>-695558.80043955054</v>
      </c>
      <c r="K56"/>
      <c r="L56"/>
      <c r="M56"/>
      <c r="N56" s="107">
        <f t="shared" si="4"/>
        <v>2164797.811180288</v>
      </c>
    </row>
    <row r="57" spans="1:15" x14ac:dyDescent="0.25">
      <c r="A57">
        <v>39700</v>
      </c>
      <c r="B57">
        <v>39700</v>
      </c>
      <c r="C57" t="s">
        <v>265</v>
      </c>
      <c r="D57"/>
      <c r="E57"/>
      <c r="F57" s="102">
        <v>3012751.6863328698</v>
      </c>
      <c r="G57"/>
      <c r="H57" s="58">
        <v>2637260.2415692308</v>
      </c>
      <c r="I57" s="102"/>
      <c r="J57" s="102">
        <f t="shared" si="3"/>
        <v>-375491.44476363901</v>
      </c>
      <c r="K57"/>
      <c r="L57"/>
      <c r="M57"/>
      <c r="N57" s="107">
        <f t="shared" si="4"/>
        <v>3012751.6863328698</v>
      </c>
      <c r="O57" s="18"/>
    </row>
    <row r="58" spans="1:15" x14ac:dyDescent="0.25">
      <c r="A58">
        <v>39800</v>
      </c>
      <c r="B58">
        <v>39800</v>
      </c>
      <c r="C58" t="s">
        <v>266</v>
      </c>
      <c r="D58"/>
      <c r="E58"/>
      <c r="F58" s="102">
        <v>234465.05245680836</v>
      </c>
      <c r="G58"/>
      <c r="H58" s="58">
        <v>161215.01680767705</v>
      </c>
      <c r="I58" s="102"/>
      <c r="J58" s="102">
        <f t="shared" si="3"/>
        <v>-73250.035649131314</v>
      </c>
      <c r="K58"/>
      <c r="L58"/>
      <c r="M58"/>
      <c r="N58" s="107">
        <f t="shared" si="4"/>
        <v>234465.05245680836</v>
      </c>
    </row>
    <row r="59" spans="1:15" x14ac:dyDescent="0.25">
      <c r="A59">
        <v>0</v>
      </c>
      <c r="B59" t="s">
        <v>267</v>
      </c>
      <c r="C59" t="s">
        <v>268</v>
      </c>
      <c r="D59"/>
      <c r="E59"/>
      <c r="F59" s="108">
        <f>SUM(F45:F58)</f>
        <v>37485176.329088382</v>
      </c>
      <c r="G59" s="109"/>
      <c r="H59" s="110">
        <v>31203365.898056112</v>
      </c>
      <c r="I59" s="108"/>
      <c r="J59" s="108">
        <f t="shared" ref="J59:N59" si="5">SUM(J45:J58)</f>
        <v>-6281810.4310322693</v>
      </c>
      <c r="K59" s="108">
        <f t="shared" si="5"/>
        <v>0</v>
      </c>
      <c r="L59" s="108">
        <f t="shared" si="5"/>
        <v>0</v>
      </c>
      <c r="M59" s="108">
        <f t="shared" si="5"/>
        <v>0</v>
      </c>
      <c r="N59" s="108">
        <f t="shared" si="5"/>
        <v>37485176.329088382</v>
      </c>
      <c r="O59" s="16">
        <f t="shared" ref="O59" si="6">SUM(O45:O58)</f>
        <v>0</v>
      </c>
    </row>
    <row r="60" spans="1:15" hidden="1" x14ac:dyDescent="0.25">
      <c r="A60"/>
      <c r="B60"/>
      <c r="C60"/>
      <c r="D60"/>
      <c r="E60"/>
      <c r="F60" s="102"/>
      <c r="G60"/>
      <c r="H60" s="58"/>
      <c r="I60" s="102"/>
      <c r="J60" s="102"/>
      <c r="K60"/>
      <c r="L60"/>
      <c r="M60"/>
      <c r="N60"/>
    </row>
    <row r="61" spans="1:15" hidden="1" x14ac:dyDescent="0.25">
      <c r="A61"/>
      <c r="B61"/>
      <c r="C61"/>
      <c r="D61"/>
      <c r="E61"/>
      <c r="F61" s="102">
        <f>SUM(F44)</f>
        <v>0</v>
      </c>
      <c r="G61"/>
      <c r="H61" s="58"/>
      <c r="I61" s="102"/>
      <c r="J61" s="102"/>
      <c r="K61"/>
      <c r="L61"/>
      <c r="M61"/>
      <c r="N61"/>
    </row>
    <row r="62" spans="1:15" hidden="1" x14ac:dyDescent="0.25">
      <c r="A62"/>
      <c r="B62"/>
      <c r="C62"/>
      <c r="D62"/>
      <c r="E62"/>
      <c r="F62" s="102"/>
      <c r="G62"/>
      <c r="H62" s="58"/>
      <c r="I62" s="102"/>
      <c r="J62" s="102"/>
      <c r="K62"/>
      <c r="L62"/>
      <c r="M62"/>
      <c r="N62"/>
    </row>
    <row r="63" spans="1:15" hidden="1" x14ac:dyDescent="0.25">
      <c r="A63"/>
      <c r="B63"/>
      <c r="C63"/>
      <c r="D63"/>
      <c r="E63"/>
      <c r="F63" s="102"/>
      <c r="G63"/>
      <c r="H63" s="58"/>
      <c r="I63" s="102"/>
      <c r="J63" s="102"/>
      <c r="K63"/>
      <c r="L63"/>
      <c r="M63"/>
      <c r="N63"/>
    </row>
    <row r="64" spans="1:15" x14ac:dyDescent="0.25">
      <c r="A64"/>
      <c r="B64"/>
      <c r="C64"/>
      <c r="D64"/>
      <c r="E64"/>
      <c r="F64" s="102"/>
      <c r="G64"/>
      <c r="H64" s="58"/>
      <c r="I64" s="102"/>
      <c r="J64" s="102"/>
      <c r="K64"/>
      <c r="L64"/>
      <c r="M64"/>
      <c r="N64"/>
    </row>
    <row r="65" spans="1:14" x14ac:dyDescent="0.25">
      <c r="A65">
        <v>33600</v>
      </c>
      <c r="B65"/>
      <c r="C65" t="s">
        <v>269</v>
      </c>
      <c r="D65"/>
      <c r="E65"/>
      <c r="F65" s="102">
        <v>1063199.1202974999</v>
      </c>
      <c r="G65"/>
      <c r="H65" s="58">
        <v>761626.78512392368</v>
      </c>
      <c r="I65" s="102"/>
      <c r="J65" s="102">
        <f>+H65-F65</f>
        <v>-301572.33517357626</v>
      </c>
      <c r="K65"/>
      <c r="L65"/>
      <c r="M65"/>
      <c r="N65" s="107">
        <f>+F65+L65</f>
        <v>1063199.1202974999</v>
      </c>
    </row>
    <row r="66" spans="1:14" x14ac:dyDescent="0.25">
      <c r="A66">
        <v>33601</v>
      </c>
      <c r="B66"/>
      <c r="C66" t="s">
        <v>59</v>
      </c>
      <c r="D66"/>
      <c r="E66"/>
      <c r="F66" s="102">
        <v>4351568.1776400004</v>
      </c>
      <c r="G66"/>
      <c r="H66" s="58">
        <v>3566859.1619999995</v>
      </c>
      <c r="I66" s="102"/>
      <c r="J66" s="102">
        <f>+H66-F66</f>
        <v>-784709.01564000081</v>
      </c>
      <c r="K66"/>
      <c r="L66"/>
      <c r="M66"/>
      <c r="N66" s="107">
        <f>+F66+L66</f>
        <v>4351568.1776400004</v>
      </c>
    </row>
    <row r="67" spans="1:14" x14ac:dyDescent="0.25">
      <c r="A67">
        <v>36400</v>
      </c>
      <c r="B67"/>
      <c r="C67" t="s">
        <v>270</v>
      </c>
      <c r="D67"/>
      <c r="E67"/>
      <c r="F67" s="102">
        <v>78084.02737916667</v>
      </c>
      <c r="G67"/>
      <c r="H67" s="58">
        <v>70509.870227827516</v>
      </c>
      <c r="I67" s="102"/>
      <c r="J67" s="102">
        <f>+H67-F67</f>
        <v>-7574.1571513391536</v>
      </c>
      <c r="K67"/>
      <c r="L67"/>
      <c r="M67"/>
      <c r="N67" s="107">
        <f>+F67+L67</f>
        <v>78084.02737916667</v>
      </c>
    </row>
    <row r="68" spans="1:14" x14ac:dyDescent="0.25">
      <c r="A68"/>
      <c r="B68"/>
      <c r="C68" s="111" t="s">
        <v>60</v>
      </c>
      <c r="D68"/>
      <c r="E68"/>
      <c r="F68" s="102">
        <f>SUM(F65:F67)</f>
        <v>5492851.3253166666</v>
      </c>
      <c r="G68"/>
      <c r="H68" s="58">
        <v>4398995.817351751</v>
      </c>
      <c r="I68" s="102">
        <f t="shared" ref="I68:N68" si="7">SUM(I65:I67)</f>
        <v>0</v>
      </c>
      <c r="J68" s="102">
        <f t="shared" si="7"/>
        <v>-1093855.5079649161</v>
      </c>
      <c r="K68" s="102">
        <f t="shared" si="7"/>
        <v>0</v>
      </c>
      <c r="L68" s="102">
        <f t="shared" si="7"/>
        <v>0</v>
      </c>
      <c r="M68" s="102">
        <f t="shared" si="7"/>
        <v>0</v>
      </c>
      <c r="N68" s="102">
        <f t="shared" si="7"/>
        <v>5492851.3253166666</v>
      </c>
    </row>
    <row r="69" spans="1:14" hidden="1" x14ac:dyDescent="0.25">
      <c r="A69"/>
      <c r="B69"/>
      <c r="C69"/>
      <c r="D69"/>
      <c r="E69"/>
      <c r="F69" s="102"/>
      <c r="G69"/>
      <c r="H69" s="58"/>
      <c r="I69" s="102"/>
      <c r="J69" s="102"/>
      <c r="K69"/>
      <c r="L69"/>
      <c r="M69"/>
      <c r="N69"/>
    </row>
    <row r="70" spans="1:14" hidden="1" x14ac:dyDescent="0.25">
      <c r="A70"/>
      <c r="B70"/>
      <c r="C70" t="s">
        <v>271</v>
      </c>
      <c r="D70"/>
      <c r="E70"/>
      <c r="F70" s="102">
        <f>+F68+F59+F35+F16</f>
        <v>947749657.078758</v>
      </c>
      <c r="G70"/>
      <c r="H70" s="58">
        <f t="shared" ref="H70:N70" si="8">+H68+H59+H35+H16</f>
        <v>794147244.25477898</v>
      </c>
      <c r="I70" s="102">
        <f t="shared" si="8"/>
        <v>0</v>
      </c>
      <c r="J70" s="102">
        <f t="shared" si="8"/>
        <v>-153242068.79590243</v>
      </c>
      <c r="K70" s="102">
        <f t="shared" si="8"/>
        <v>0</v>
      </c>
      <c r="L70" s="102">
        <f t="shared" si="8"/>
        <v>8.8475644588470459E-9</v>
      </c>
      <c r="M70" s="102">
        <f t="shared" si="8"/>
        <v>0</v>
      </c>
      <c r="N70" s="102">
        <f t="shared" si="8"/>
        <v>947749657.07875836</v>
      </c>
    </row>
    <row r="71" spans="1:14" hidden="1" x14ac:dyDescent="0.25">
      <c r="A71"/>
      <c r="B71"/>
      <c r="C71"/>
      <c r="D71"/>
      <c r="E71"/>
      <c r="F71" s="102"/>
      <c r="G71"/>
      <c r="H71" s="58"/>
      <c r="I71" s="102"/>
      <c r="J71" s="102"/>
      <c r="K71"/>
      <c r="L71"/>
      <c r="M71"/>
      <c r="N71"/>
    </row>
    <row r="72" spans="1:14" hidden="1" x14ac:dyDescent="0.25">
      <c r="A72"/>
      <c r="B72"/>
      <c r="C72"/>
      <c r="D72"/>
      <c r="E72"/>
      <c r="F72" s="102"/>
      <c r="G72"/>
      <c r="H72" s="58"/>
      <c r="I72" s="102"/>
      <c r="J72" s="102"/>
      <c r="K72"/>
      <c r="L72"/>
      <c r="M72"/>
      <c r="N72"/>
    </row>
    <row r="73" spans="1:14" x14ac:dyDescent="0.25">
      <c r="A73"/>
      <c r="B73"/>
      <c r="C73"/>
      <c r="D73"/>
      <c r="E73"/>
      <c r="F73" s="102"/>
      <c r="G73"/>
      <c r="H73" s="58"/>
      <c r="I73" s="102"/>
      <c r="J73" s="102"/>
      <c r="K73"/>
      <c r="L73"/>
      <c r="M73"/>
      <c r="N73"/>
    </row>
    <row r="74" spans="1:14" x14ac:dyDescent="0.25">
      <c r="A74">
        <v>30100</v>
      </c>
      <c r="B74"/>
      <c r="C74" t="s">
        <v>272</v>
      </c>
      <c r="D74"/>
      <c r="E74"/>
      <c r="F74" s="102"/>
      <c r="G74"/>
      <c r="H74" s="58"/>
      <c r="I74" s="102"/>
      <c r="J74" s="102"/>
      <c r="K74"/>
      <c r="L74"/>
      <c r="M74"/>
      <c r="N74" s="102">
        <v>0</v>
      </c>
    </row>
    <row r="75" spans="1:14" x14ac:dyDescent="0.25">
      <c r="A75">
        <v>37400</v>
      </c>
      <c r="B75"/>
      <c r="C75" t="s">
        <v>5</v>
      </c>
      <c r="D75"/>
      <c r="E75"/>
      <c r="F75" s="102">
        <v>-60224.600000000435</v>
      </c>
      <c r="G75"/>
      <c r="H75" s="58"/>
      <c r="I75" s="102"/>
      <c r="J75" s="102"/>
      <c r="K75"/>
      <c r="L75"/>
      <c r="M75"/>
      <c r="N75" s="107">
        <f>+F75</f>
        <v>-60224.600000000435</v>
      </c>
    </row>
    <row r="76" spans="1:14" x14ac:dyDescent="0.25">
      <c r="A76">
        <v>11501</v>
      </c>
      <c r="B76"/>
      <c r="C76" t="s">
        <v>273</v>
      </c>
      <c r="D76"/>
      <c r="E76"/>
      <c r="F76" s="102">
        <v>5028152.9800000135</v>
      </c>
      <c r="G76"/>
      <c r="H76" s="58"/>
      <c r="I76" s="102"/>
      <c r="J76" s="102"/>
      <c r="K76"/>
      <c r="L76"/>
      <c r="M76"/>
      <c r="N76" s="107">
        <f>+F76</f>
        <v>5028152.9800000135</v>
      </c>
    </row>
    <row r="77" spans="1:14" x14ac:dyDescent="0.25">
      <c r="A77">
        <v>10500</v>
      </c>
      <c r="B77"/>
      <c r="C77" t="s">
        <v>274</v>
      </c>
      <c r="D77"/>
      <c r="E77"/>
      <c r="F77" s="102">
        <v>0</v>
      </c>
      <c r="G77"/>
      <c r="H77" s="58"/>
      <c r="I77" s="102"/>
      <c r="J77" s="102"/>
      <c r="K77"/>
      <c r="L77"/>
      <c r="M77"/>
      <c r="N77" s="107">
        <f>+F77</f>
        <v>0</v>
      </c>
    </row>
    <row r="78" spans="1:14" x14ac:dyDescent="0.25">
      <c r="A78"/>
      <c r="B78"/>
      <c r="C78"/>
      <c r="D78"/>
      <c r="E78"/>
      <c r="F78" s="102"/>
      <c r="G78"/>
      <c r="H78" s="58"/>
      <c r="I78" s="102"/>
      <c r="J78" s="102"/>
      <c r="K78"/>
      <c r="L78"/>
      <c r="M78"/>
      <c r="N78" s="107">
        <f>+F78</f>
        <v>0</v>
      </c>
    </row>
    <row r="79" spans="1:14" ht="15.75" thickBot="1" x14ac:dyDescent="0.3">
      <c r="A79"/>
      <c r="B79"/>
      <c r="C79" t="s">
        <v>275</v>
      </c>
      <c r="D79"/>
      <c r="E79"/>
      <c r="F79" s="112">
        <f>SUM(F70:F78)</f>
        <v>952717585.458758</v>
      </c>
      <c r="G79" s="113"/>
      <c r="H79" s="114"/>
      <c r="I79" s="112"/>
      <c r="J79" s="112"/>
      <c r="K79" s="113"/>
      <c r="L79" s="113"/>
      <c r="M79" s="113"/>
      <c r="N79" s="112">
        <f>SUM(N70:N78)</f>
        <v>952717585.45875835</v>
      </c>
    </row>
    <row r="80" spans="1:14" ht="16.5" thickTop="1" thickBot="1" x14ac:dyDescent="0.3">
      <c r="A80"/>
      <c r="B80"/>
      <c r="C80"/>
      <c r="D80"/>
      <c r="E80"/>
      <c r="F80" s="115">
        <v>952717585.45875788</v>
      </c>
      <c r="G80"/>
      <c r="H80" s="58"/>
      <c r="I80" s="102"/>
      <c r="J80" s="102"/>
      <c r="K80"/>
      <c r="L80"/>
      <c r="M80"/>
      <c r="N80" s="107">
        <f>+F80</f>
        <v>952717585.45875788</v>
      </c>
    </row>
    <row r="81" spans="1:14" ht="15.75" thickTop="1" x14ac:dyDescent="0.25">
      <c r="A81"/>
      <c r="B81"/>
      <c r="C81"/>
      <c r="D81"/>
      <c r="E81"/>
      <c r="F81" s="102">
        <f>+F79-F80</f>
        <v>0</v>
      </c>
      <c r="G81"/>
      <c r="H81" s="58"/>
      <c r="I81" s="102"/>
      <c r="J81" s="102"/>
      <c r="K81"/>
      <c r="L81"/>
      <c r="M81"/>
      <c r="N81" s="107">
        <f>+F81</f>
        <v>0</v>
      </c>
    </row>
    <row r="82" spans="1:14" x14ac:dyDescent="0.25">
      <c r="F82" s="18"/>
      <c r="N82" s="24"/>
    </row>
    <row r="83" spans="1:14" x14ac:dyDescent="0.25">
      <c r="F83" s="18"/>
    </row>
    <row r="84" spans="1:14" x14ac:dyDescent="0.25">
      <c r="F84" s="18"/>
    </row>
    <row r="85" spans="1:14" x14ac:dyDescent="0.25">
      <c r="F85" s="18"/>
    </row>
    <row r="86" spans="1:14" x14ac:dyDescent="0.25">
      <c r="F86" s="18"/>
    </row>
    <row r="87" spans="1:14" x14ac:dyDescent="0.25">
      <c r="F87" s="18"/>
    </row>
    <row r="380" spans="11:11" x14ac:dyDescent="0.25">
      <c r="K380" s="24"/>
    </row>
  </sheetData>
  <pageMargins left="0.7" right="0.7" top="0.75" bottom="0.75" header="0.3" footer="0.3"/>
  <pageSetup scale="50" orientation="landscape" horizontalDpi="90" verticalDpi="90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C8C80-3F9B-4D11-92ED-0F0A3C5E292C}">
  <sheetPr>
    <pageSetUpPr fitToPage="1"/>
  </sheetPr>
  <dimension ref="A1:X38"/>
  <sheetViews>
    <sheetView topLeftCell="A10" workbookViewId="0">
      <selection activeCell="J30" sqref="J30"/>
    </sheetView>
  </sheetViews>
  <sheetFormatPr defaultRowHeight="15" x14ac:dyDescent="0.25"/>
  <cols>
    <col min="2" max="2" width="36.28515625" customWidth="1"/>
    <col min="3" max="7" width="14.140625" customWidth="1"/>
  </cols>
  <sheetData>
    <row r="1" spans="1:24" x14ac:dyDescent="0.25">
      <c r="A1" s="6" t="s">
        <v>209</v>
      </c>
    </row>
    <row r="2" spans="1:24" x14ac:dyDescent="0.25">
      <c r="A2" s="6"/>
    </row>
    <row r="3" spans="1:24" x14ac:dyDescent="0.25">
      <c r="A3" s="6"/>
    </row>
    <row r="5" spans="1:24" x14ac:dyDescent="0.25">
      <c r="A5" s="11"/>
      <c r="B5" s="11"/>
      <c r="C5" s="2" t="s">
        <v>34</v>
      </c>
      <c r="D5" s="2">
        <v>2024</v>
      </c>
      <c r="E5" s="2">
        <v>2024</v>
      </c>
      <c r="F5" s="2" t="s">
        <v>40</v>
      </c>
      <c r="G5" s="2" t="s">
        <v>40</v>
      </c>
    </row>
    <row r="6" spans="1:24" x14ac:dyDescent="0.25">
      <c r="A6" s="3" t="s">
        <v>0</v>
      </c>
      <c r="B6" s="13"/>
      <c r="C6" s="3" t="s">
        <v>35</v>
      </c>
      <c r="D6" s="3" t="s">
        <v>33</v>
      </c>
      <c r="E6" s="3" t="s">
        <v>39</v>
      </c>
      <c r="F6" s="3"/>
      <c r="G6" s="3"/>
    </row>
    <row r="7" spans="1:24" x14ac:dyDescent="0.25">
      <c r="A7" s="3" t="s">
        <v>48</v>
      </c>
      <c r="B7" s="3" t="s">
        <v>1</v>
      </c>
      <c r="C7" s="3" t="s">
        <v>31</v>
      </c>
      <c r="D7" s="3" t="s">
        <v>31</v>
      </c>
      <c r="E7" s="3" t="s">
        <v>31</v>
      </c>
      <c r="F7" s="5" t="s">
        <v>47</v>
      </c>
      <c r="G7" s="5" t="s">
        <v>46</v>
      </c>
      <c r="L7" s="35" t="s">
        <v>72</v>
      </c>
    </row>
    <row r="8" spans="1:24" x14ac:dyDescent="0.25">
      <c r="A8" s="12"/>
      <c r="B8" s="12"/>
      <c r="C8" s="7" t="s">
        <v>32</v>
      </c>
      <c r="D8" s="7" t="s">
        <v>38</v>
      </c>
      <c r="E8" s="7" t="s">
        <v>41</v>
      </c>
      <c r="F8" s="7" t="s">
        <v>43</v>
      </c>
      <c r="G8" s="7" t="s">
        <v>45</v>
      </c>
    </row>
    <row r="9" spans="1:24" x14ac:dyDescent="0.25">
      <c r="A9" s="8">
        <v>33600</v>
      </c>
      <c r="B9" s="8" t="s">
        <v>2</v>
      </c>
      <c r="C9" s="9">
        <v>1063199</v>
      </c>
      <c r="D9" s="9">
        <v>1079309</v>
      </c>
      <c r="E9" s="9">
        <v>1063199</v>
      </c>
      <c r="F9" s="10">
        <f t="shared" ref="F9:F38" si="0">+C9-D9</f>
        <v>-16110</v>
      </c>
      <c r="G9" s="10">
        <f t="shared" ref="G9:G38" si="1">+C9-E9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8">
        <v>33601</v>
      </c>
      <c r="B10" s="8" t="s">
        <v>3</v>
      </c>
      <c r="C10" s="9">
        <v>4351568</v>
      </c>
      <c r="D10" s="9">
        <v>4351568</v>
      </c>
      <c r="E10" s="8"/>
      <c r="F10" s="10">
        <f t="shared" si="0"/>
        <v>0</v>
      </c>
      <c r="G10" s="10">
        <f t="shared" si="1"/>
        <v>4351568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25">
      <c r="A11" s="8">
        <v>36400</v>
      </c>
      <c r="B11" s="8" t="s">
        <v>4</v>
      </c>
      <c r="C11" s="9">
        <v>78084</v>
      </c>
      <c r="D11" s="9">
        <v>79585</v>
      </c>
      <c r="E11" s="8"/>
      <c r="F11" s="10">
        <f t="shared" si="0"/>
        <v>-1501</v>
      </c>
      <c r="G11" s="10">
        <f t="shared" si="1"/>
        <v>78084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8">
        <v>37400</v>
      </c>
      <c r="B12" s="8" t="s">
        <v>5</v>
      </c>
      <c r="C12" s="9">
        <v>-60225</v>
      </c>
      <c r="D12" s="9"/>
      <c r="E12" s="9">
        <v>-60225</v>
      </c>
      <c r="F12" s="10">
        <f t="shared" si="0"/>
        <v>-60225</v>
      </c>
      <c r="G12" s="10">
        <f t="shared" si="1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5">
      <c r="A13" s="8">
        <v>37402</v>
      </c>
      <c r="B13" s="8" t="s">
        <v>6</v>
      </c>
      <c r="C13" s="9"/>
      <c r="D13" s="9">
        <v>1135966</v>
      </c>
      <c r="E13" s="8">
        <v>1150125</v>
      </c>
      <c r="F13" s="10">
        <f t="shared" si="0"/>
        <v>-1135966</v>
      </c>
      <c r="G13" s="10">
        <f t="shared" si="1"/>
        <v>-1150125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8">
        <v>37500</v>
      </c>
      <c r="B14" s="8" t="s">
        <v>7</v>
      </c>
      <c r="C14" s="9">
        <v>8870302</v>
      </c>
      <c r="D14" s="9">
        <v>8327025</v>
      </c>
      <c r="E14" s="9">
        <v>8870302</v>
      </c>
      <c r="F14" s="10">
        <f t="shared" si="0"/>
        <v>543277</v>
      </c>
      <c r="G14" s="10">
        <f t="shared" si="1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25">
      <c r="A15" s="8">
        <v>37600</v>
      </c>
      <c r="B15" s="8" t="s">
        <v>8</v>
      </c>
      <c r="C15" s="9">
        <v>221233588</v>
      </c>
      <c r="D15" s="9">
        <v>219421191</v>
      </c>
      <c r="E15" s="9">
        <v>221233588</v>
      </c>
      <c r="F15" s="10">
        <f t="shared" si="0"/>
        <v>1812397</v>
      </c>
      <c r="G15" s="10">
        <f t="shared" si="1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5">
      <c r="A16" s="8">
        <v>37602</v>
      </c>
      <c r="B16" s="8" t="s">
        <v>9</v>
      </c>
      <c r="C16" s="9">
        <v>213121529</v>
      </c>
      <c r="D16" s="9">
        <v>199350416</v>
      </c>
      <c r="E16" s="9">
        <v>213121529</v>
      </c>
      <c r="F16" s="10">
        <f t="shared" si="0"/>
        <v>13771113</v>
      </c>
      <c r="G16" s="10">
        <f t="shared" si="1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8">
        <v>37700</v>
      </c>
      <c r="B17" s="8" t="s">
        <v>10</v>
      </c>
      <c r="C17" s="9">
        <v>1921393</v>
      </c>
      <c r="D17" s="9">
        <v>1872819</v>
      </c>
      <c r="E17" s="9">
        <v>1921393</v>
      </c>
      <c r="F17" s="10">
        <f t="shared" si="0"/>
        <v>48574</v>
      </c>
      <c r="G17" s="10">
        <f t="shared" si="1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8">
        <v>37800</v>
      </c>
      <c r="B18" s="8" t="s">
        <v>11</v>
      </c>
      <c r="C18" s="9">
        <v>6423569</v>
      </c>
      <c r="D18" s="9">
        <v>6391147</v>
      </c>
      <c r="E18" s="9">
        <v>6423569</v>
      </c>
      <c r="F18" s="10">
        <f t="shared" si="0"/>
        <v>32422</v>
      </c>
      <c r="G18" s="10">
        <f t="shared" si="1"/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8">
        <v>37900</v>
      </c>
      <c r="B19" s="8" t="s">
        <v>12</v>
      </c>
      <c r="C19" s="9">
        <v>21492591</v>
      </c>
      <c r="D19" s="9">
        <v>20597694</v>
      </c>
      <c r="E19" s="9">
        <v>21492591</v>
      </c>
      <c r="F19" s="10">
        <f t="shared" si="0"/>
        <v>894897</v>
      </c>
      <c r="G19" s="10">
        <f t="shared" si="1"/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8">
        <v>38000</v>
      </c>
      <c r="B20" s="8" t="s">
        <v>13</v>
      </c>
      <c r="C20" s="9">
        <v>45369272</v>
      </c>
      <c r="D20" s="9">
        <v>44097347</v>
      </c>
      <c r="E20" s="9">
        <v>45369272</v>
      </c>
      <c r="F20" s="10">
        <f t="shared" si="0"/>
        <v>1271925</v>
      </c>
      <c r="G20" s="10">
        <f t="shared" si="1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5">
      <c r="A21" s="8">
        <v>38002</v>
      </c>
      <c r="B21" s="8" t="s">
        <v>14</v>
      </c>
      <c r="C21" s="9">
        <v>221130216</v>
      </c>
      <c r="D21" s="9">
        <v>212877942</v>
      </c>
      <c r="E21" s="9">
        <v>221130216</v>
      </c>
      <c r="F21" s="10">
        <f t="shared" si="0"/>
        <v>8252274</v>
      </c>
      <c r="G21" s="10">
        <f t="shared" si="1"/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8">
        <v>38100</v>
      </c>
      <c r="B22" s="8" t="s">
        <v>15</v>
      </c>
      <c r="C22" s="9">
        <v>45724877</v>
      </c>
      <c r="D22" s="9">
        <v>44575768</v>
      </c>
      <c r="E22" s="9">
        <v>45724877</v>
      </c>
      <c r="F22" s="10">
        <f t="shared" si="0"/>
        <v>1149109</v>
      </c>
      <c r="G22" s="10">
        <f t="shared" si="1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8">
        <v>38200</v>
      </c>
      <c r="B23" s="8" t="s">
        <v>16</v>
      </c>
      <c r="C23" s="9">
        <v>39220335</v>
      </c>
      <c r="D23" s="9">
        <v>36161018</v>
      </c>
      <c r="E23" s="9">
        <v>39220335</v>
      </c>
      <c r="F23" s="10">
        <f t="shared" si="0"/>
        <v>3059317</v>
      </c>
      <c r="G23" s="10">
        <f t="shared" si="1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5">
      <c r="A24" s="8">
        <v>38300</v>
      </c>
      <c r="B24" s="8" t="s">
        <v>17</v>
      </c>
      <c r="C24" s="9">
        <v>9756397</v>
      </c>
      <c r="D24" s="9">
        <v>9132325</v>
      </c>
      <c r="E24" s="9">
        <v>9756397</v>
      </c>
      <c r="F24" s="10">
        <f t="shared" si="0"/>
        <v>624072</v>
      </c>
      <c r="G24" s="10">
        <f t="shared" si="1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s="8">
        <v>38400</v>
      </c>
      <c r="B25" s="8" t="s">
        <v>18</v>
      </c>
      <c r="C25" s="9">
        <v>17117052</v>
      </c>
      <c r="D25" s="9">
        <v>15584500</v>
      </c>
      <c r="E25" s="9">
        <v>17117052</v>
      </c>
      <c r="F25" s="10">
        <f t="shared" si="0"/>
        <v>1532552</v>
      </c>
      <c r="G25" s="10">
        <f t="shared" si="1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5">
      <c r="A26" s="8">
        <v>38500</v>
      </c>
      <c r="B26" s="8" t="s">
        <v>19</v>
      </c>
      <c r="C26" s="9">
        <v>7665448</v>
      </c>
      <c r="D26" s="9">
        <v>7287259</v>
      </c>
      <c r="E26" s="9">
        <v>7665448</v>
      </c>
      <c r="F26" s="10">
        <f t="shared" si="0"/>
        <v>378189</v>
      </c>
      <c r="G26" s="10">
        <f t="shared" si="1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5">
      <c r="A27" s="8">
        <v>38700</v>
      </c>
      <c r="B27" s="8" t="s">
        <v>20</v>
      </c>
      <c r="C27" s="9">
        <v>6236109</v>
      </c>
      <c r="D27" s="9">
        <v>5670672</v>
      </c>
      <c r="E27" s="9">
        <v>6236109</v>
      </c>
      <c r="F27" s="10">
        <f t="shared" si="0"/>
        <v>565437</v>
      </c>
      <c r="G27" s="10">
        <f t="shared" si="1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5">
      <c r="A28" s="8">
        <v>39000</v>
      </c>
      <c r="B28" s="8" t="s">
        <v>7</v>
      </c>
      <c r="C28" s="9">
        <v>3392</v>
      </c>
      <c r="D28" s="9">
        <v>45568</v>
      </c>
      <c r="E28" s="9">
        <v>3392</v>
      </c>
      <c r="F28" s="10">
        <f t="shared" si="0"/>
        <v>-42176</v>
      </c>
      <c r="G28" s="10">
        <f t="shared" si="1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5">
      <c r="A29" s="8">
        <v>39002</v>
      </c>
      <c r="B29" s="32" t="s">
        <v>21</v>
      </c>
      <c r="C29" s="9"/>
      <c r="D29" s="9"/>
      <c r="E29" s="9">
        <v>42176</v>
      </c>
      <c r="F29" s="10">
        <f t="shared" si="0"/>
        <v>0</v>
      </c>
      <c r="G29" s="10">
        <f t="shared" si="1"/>
        <v>-42176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5">
      <c r="A30" s="8">
        <v>39101</v>
      </c>
      <c r="B30" s="8" t="s">
        <v>22</v>
      </c>
      <c r="C30" s="9">
        <v>3930307</v>
      </c>
      <c r="D30" s="9">
        <v>3887201</v>
      </c>
      <c r="E30" s="9">
        <v>3930307</v>
      </c>
      <c r="F30" s="10">
        <f t="shared" si="0"/>
        <v>43106</v>
      </c>
      <c r="G30" s="10">
        <f t="shared" si="1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5">
      <c r="A31" s="8">
        <v>39102</v>
      </c>
      <c r="B31" s="8" t="s">
        <v>23</v>
      </c>
      <c r="C31" s="9">
        <v>1060119</v>
      </c>
      <c r="D31" s="9">
        <v>1057060</v>
      </c>
      <c r="E31" s="9">
        <v>1060119</v>
      </c>
      <c r="F31" s="10">
        <f t="shared" si="0"/>
        <v>3059</v>
      </c>
      <c r="G31" s="10">
        <f t="shared" si="1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5">
      <c r="A32" s="8">
        <v>39201</v>
      </c>
      <c r="B32" s="8" t="s">
        <v>24</v>
      </c>
      <c r="C32" s="9">
        <v>8108219</v>
      </c>
      <c r="D32" s="9">
        <v>8222729</v>
      </c>
      <c r="E32" s="9">
        <v>8108219</v>
      </c>
      <c r="F32" s="10">
        <f t="shared" si="0"/>
        <v>-114510</v>
      </c>
      <c r="G32" s="10">
        <f t="shared" si="1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5">
      <c r="A33" s="8">
        <v>39202</v>
      </c>
      <c r="B33" s="8" t="s">
        <v>25</v>
      </c>
      <c r="C33" s="9">
        <v>9617268</v>
      </c>
      <c r="D33" s="9">
        <v>9635072</v>
      </c>
      <c r="E33" s="9">
        <v>9617268</v>
      </c>
      <c r="F33" s="10">
        <f t="shared" si="0"/>
        <v>-17804</v>
      </c>
      <c r="G33" s="10">
        <f t="shared" si="1"/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5">
      <c r="A34" s="8">
        <v>39205</v>
      </c>
      <c r="B34" s="8" t="s">
        <v>26</v>
      </c>
      <c r="C34" s="9">
        <v>1410924</v>
      </c>
      <c r="D34" s="9">
        <v>1395539</v>
      </c>
      <c r="E34" s="9">
        <v>1410924</v>
      </c>
      <c r="F34" s="10">
        <f t="shared" si="0"/>
        <v>15385</v>
      </c>
      <c r="G34" s="10">
        <f t="shared" si="1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25">
      <c r="A35" s="8">
        <v>39400</v>
      </c>
      <c r="B35" s="8" t="s">
        <v>30</v>
      </c>
      <c r="C35" s="9">
        <v>4792331</v>
      </c>
      <c r="D35" s="9">
        <v>4783405</v>
      </c>
      <c r="E35" s="9">
        <v>4792331</v>
      </c>
      <c r="F35" s="10">
        <f t="shared" si="0"/>
        <v>8926</v>
      </c>
      <c r="G35" s="10">
        <f t="shared" si="1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25">
      <c r="A36" s="8">
        <v>39401</v>
      </c>
      <c r="B36" s="8" t="s">
        <v>27</v>
      </c>
      <c r="C36" s="9">
        <v>960600</v>
      </c>
      <c r="D36" s="9">
        <v>958073</v>
      </c>
      <c r="E36" s="9">
        <v>47990</v>
      </c>
      <c r="F36" s="10">
        <f t="shared" si="0"/>
        <v>2527</v>
      </c>
      <c r="G36" s="10">
        <f t="shared" si="1"/>
        <v>912610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25">
      <c r="A37" s="8">
        <v>39600</v>
      </c>
      <c r="B37" s="8" t="s">
        <v>28</v>
      </c>
      <c r="C37" s="9">
        <v>2164798</v>
      </c>
      <c r="D37" s="9">
        <v>2148335</v>
      </c>
      <c r="E37" s="9">
        <v>2164798</v>
      </c>
      <c r="F37" s="10">
        <f t="shared" si="0"/>
        <v>16463</v>
      </c>
      <c r="G37" s="10">
        <f t="shared" si="1"/>
        <v>0</v>
      </c>
    </row>
    <row r="38" spans="1:24" x14ac:dyDescent="0.25">
      <c r="A38" s="8">
        <v>39800</v>
      </c>
      <c r="B38" s="8" t="s">
        <v>29</v>
      </c>
      <c r="C38" s="9">
        <v>234465</v>
      </c>
      <c r="D38" s="9">
        <v>236138</v>
      </c>
      <c r="E38" s="9">
        <v>234465</v>
      </c>
      <c r="F38" s="10">
        <f t="shared" si="0"/>
        <v>-1673</v>
      </c>
      <c r="G38" s="10">
        <f t="shared" si="1"/>
        <v>0</v>
      </c>
    </row>
  </sheetData>
  <pageMargins left="0.7" right="0.7" top="0.75" bottom="0.75" header="0.3" footer="0.3"/>
  <pageSetup scale="95" orientation="landscape" horizontalDpi="90" verticalDpi="90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4" ma:contentTypeDescription="Create a new document." ma:contentTypeScope="" ma:versionID="e2b9750623e9e809d78ee09474a05ce2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87123375e93d0f6cbdbe1f9c6a12d70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8FAB7B-A01B-4137-A5CD-C069D64855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2BD926-34DA-43C8-A243-E451ABD4C1B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e9d3abe-bc67-4c3a-8bb7-62a662d1f451"/>
    <ds:schemaRef ds:uri="http://purl.org/dc/elements/1.1/"/>
    <ds:schemaRef ds:uri="http://schemas.microsoft.com/office/2006/metadata/properties"/>
    <ds:schemaRef ds:uri="http://schemas.microsoft.com/office/2006/documentManagement/types"/>
    <ds:schemaRef ds:uri="94791c15-4105-42df-b17e-66b53d20fde0"/>
    <ds:schemaRef ds:uri="94791C15-4105-42DF-B17E-66B53D20FDE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52D82C7-7C7C-47A6-B9E1-E0E334A4AA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Column 5 Recon</vt:lpstr>
      <vt:lpstr>Column 4 Recon</vt:lpstr>
      <vt:lpstr>Reserve Allocation - Original</vt:lpstr>
      <vt:lpstr>Account Corrections</vt:lpstr>
      <vt:lpstr>Rev Defiency Impact</vt:lpstr>
      <vt:lpstr>Annual Status 2024 Corrected </vt:lpstr>
      <vt:lpstr>Revised Table</vt:lpstr>
      <vt:lpstr>Reserve Allocation - Corrected</vt:lpstr>
      <vt:lpstr>DNU - Staff Table</vt:lpstr>
      <vt:lpstr>'Account Corrections'!Print_Area</vt:lpstr>
      <vt:lpstr>'Annual Status 2024 Corrected '!Print_Area</vt:lpstr>
      <vt:lpstr>'Column 4 Recon'!Print_Area</vt:lpstr>
      <vt:lpstr>'DNU - Staff Table'!Print_Area</vt:lpstr>
      <vt:lpstr>'Reserve Allocation - Original'!Print_Area</vt:lpstr>
      <vt:lpstr>'Rev Defiency Impact'!Print_Area</vt:lpstr>
      <vt:lpstr>'Revised Table'!Print_Area</vt:lpstr>
      <vt:lpstr>'Account Corrections'!Print_Titles</vt:lpstr>
      <vt:lpstr>'Annual Status 2024 Corrected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Hillary, Sean P.</dc:creator>
  <cp:lastModifiedBy>Vega, Tison</cp:lastModifiedBy>
  <cp:lastPrinted>2023-06-20T18:25:58Z</cp:lastPrinted>
  <dcterms:created xsi:type="dcterms:W3CDTF">2023-06-15T18:36:14Z</dcterms:created>
  <dcterms:modified xsi:type="dcterms:W3CDTF">2023-06-27T17:23:46Z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2023-06-17T16:22:15Z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df90268d-d334-44e8-894e-8ecfd726bf60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</Properties>
</file>